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  <sheet name="Осень–зима" sheetId="2" r:id="rId2"/>
    <sheet name="Условия" sheetId="3" r:id="rId3"/>
  </sheets>
  <definedNames>
    <definedName name="_xlnm._FilterDatabase" localSheetId="0" hidden="1">'Прайс'!$A$1:$R$1449</definedName>
    <definedName name="_xlnm._FilterDatabase" localSheetId="1" hidden="1">'Осень–зима'!$A$1:$R$607</definedName>
  </definedNames>
</workbook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49"/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44" customWidth="1"/>
    <col min="4" max="4" width="20" customWidth="1"/>
    <col min="5" max="5" width="16" customWidth="1"/>
    <col min="6" max="6" width="12" customWidth="1"/>
    <col min="7" max="7" width="11" customWidth="1"/>
    <col min="8" max="8" width="14" customWidth="1"/>
    <col min="9" max="9" width="26" customWidth="1"/>
    <col min="10" max="10" width="14" customWidth="1"/>
    <col min="11" max="11" width="13" customWidth="1"/>
    <col min="12" max="12" width="13" customWidth="1"/>
    <col min="13" max="13" width="34" customWidth="1"/>
    <col min="14" max="14" width="20" customWidth="1"/>
    <col min="15" max="15" width="9" customWidth="1"/>
    <col min="16" max="16" width="16" customWidth="1"/>
    <col min="17" max="17" width="8" customWidth="1"/>
    <col min="18" max="18" width="10" customWidth="1"/>
  </cols>
  <sheetData>
    <row r="1">
      <c r="A1" s="1" t="inlineStr">
        <is>
          <t xml:space="preserve">Пол</t>
        </is>
      </c>
      <c r="B1" s="1" t="inlineStr">
        <is>
          <t xml:space="preserve">Категория</t>
        </is>
      </c>
      <c r="C1" s="1" t="inlineStr">
        <is>
          <t xml:space="preserve">Модель</t>
        </is>
      </c>
      <c r="D1" s="1" t="inlineStr">
        <is>
          <t xml:space="preserve">Артикул</t>
        </is>
      </c>
      <c r="E1" s="1" t="inlineStr">
        <is>
          <t xml:space="preserve">Цвет</t>
        </is>
      </c>
      <c r="F1" s="1" t="inlineStr">
        <is>
          <t xml:space="preserve">Размер</t>
        </is>
      </c>
      <c r="G1" s="1" t="inlineStr">
        <is>
          <t xml:space="preserve">Остаток, шт</t>
        </is>
      </c>
      <c r="H1" s="1" t="inlineStr">
        <is>
          <t xml:space="preserve">Цена, BYN с НДС</t>
        </is>
      </c>
      <c r="I1" s="1" t="inlineStr">
        <is>
          <t xml:space="preserve">Состав</t>
        </is>
      </c>
      <c r="J1" s="1" t="inlineStr">
        <is>
          <t xml:space="preserve">Сезон</t>
        </is>
      </c>
      <c r="K1" s="1" t="inlineStr">
        <is>
          <t xml:space="preserve">Страна</t>
        </is>
      </c>
      <c r="L1" s="1" t="inlineStr">
        <is>
          <t xml:space="preserve">ТН ВЭД</t>
        </is>
      </c>
      <c r="M1" s="1" t="inlineStr">
        <is>
          <t xml:space="preserve">Декларация / сертификат</t>
        </is>
      </c>
      <c r="N1" s="1" t="inlineStr">
        <is>
          <t xml:space="preserve">Упаковка, см (Д×Ш×В)</t>
        </is>
      </c>
      <c r="O1" s="1" t="inlineStr">
        <is>
          <t xml:space="preserve">Вес, кг</t>
        </is>
      </c>
      <c r="P1" s="1" t="inlineStr">
        <is>
          <t xml:space="preserve">Штрихкод</t>
        </is>
      </c>
      <c r="Q1" s="1" t="inlineStr">
        <is>
          <t xml:space="preserve">Фото</t>
        </is>
      </c>
      <c r="R1" s="1" t="inlineStr">
        <is>
          <t xml:space="preserve">На сайте</t>
        </is>
      </c>
    </row>
    <row r="2">
      <c r="A2" t="inlineStr">
        <is>
          <t xml:space="preserve">Женский</t>
        </is>
      </c>
      <c r="B2" t="inlineStr">
        <is>
          <t xml:space="preserve">Береты</t>
        </is>
      </c>
      <c r="C2" t="inlineStr">
        <is>
          <t xml:space="preserve">Берет теплый стильный, коричневый</t>
        </is>
      </c>
      <c r="D2" t="inlineStr">
        <is>
          <t xml:space="preserve">T1HAW5201коричневый</t>
        </is>
      </c>
      <c r="E2" t="inlineStr">
        <is>
          <t xml:space="preserve">коричневый, бежевый</t>
        </is>
      </c>
      <c r="F2" t="inlineStr">
        <is>
          <t xml:space="preserve">56-58</t>
        </is>
      </c>
      <c r="G2">
        <v>33</v>
      </c>
      <c r="H2" s="2">
        <v>19.0</v>
      </c>
      <c r="I2" t="inlineStr">
        <is>
          <t xml:space="preserve">полиэфирное волокно</t>
        </is>
      </c>
      <c r="J2" t="inlineStr">
        <is>
          <t xml:space="preserve">демисезон</t>
        </is>
      </c>
      <c r="K2" t="inlineStr">
        <is>
          <t xml:space="preserve">Китай</t>
        </is>
      </c>
      <c r="L2" t="inlineStr">
        <is>
          <t xml:space="preserve">6505009000</t>
        </is>
      </c>
      <c r="M2" t="inlineStr">
        <is>
          <t xml:space="preserve">по запросу</t>
        </is>
      </c>
      <c r="N2" t="inlineStr">
        <is>
          <t xml:space="preserve">25 × 16 × 2</t>
        </is>
      </c>
      <c r="O2" t="inlineStr">
        <is>
          <t xml:space="preserve">0,12</t>
        </is>
      </c>
      <c r="P2" t="inlineStr">
        <is>
          <t xml:space="preserve">4816148171412</t>
        </is>
      </c>
      <c r="Q2" s="3" t="str">
        <f>HYPERLINK("https://modify.by/img/588090958/1.webp","фото")</f>
        <v>фото</v>
      </c>
      <c r="R2" s="3" t="str">
        <f>HYPERLINK("https://modify.by/catalog/berety/588090958/?utm_source=price&amp;utm_medium=xlsx","открыть")</f>
        <v>открыть</v>
      </c>
    </row>
    <row r="3">
      <c r="A3" t="inlineStr">
        <is>
          <t xml:space="preserve">Женский</t>
        </is>
      </c>
      <c r="B3" t="inlineStr">
        <is>
          <t xml:space="preserve">Береты</t>
        </is>
      </c>
      <c r="C3" t="inlineStr">
        <is>
          <t xml:space="preserve">Берет теплый стильный, черный</t>
        </is>
      </c>
      <c r="D3" t="inlineStr">
        <is>
          <t xml:space="preserve">T1HAW5201черный,белый</t>
        </is>
      </c>
      <c r="E3" t="inlineStr">
        <is>
          <t xml:space="preserve">черный, белый</t>
        </is>
      </c>
      <c r="F3" t="inlineStr">
        <is>
          <t xml:space="preserve">56-58</t>
        </is>
      </c>
      <c r="G3">
        <v>3</v>
      </c>
      <c r="H3" s="2">
        <v>19.0</v>
      </c>
      <c r="I3" t="inlineStr">
        <is>
          <t xml:space="preserve">полиэфирное волокно</t>
        </is>
      </c>
      <c r="J3" t="inlineStr">
        <is>
          <t xml:space="preserve">демисезон</t>
        </is>
      </c>
      <c r="K3" t="inlineStr">
        <is>
          <t xml:space="preserve">Китай</t>
        </is>
      </c>
      <c r="L3" t="inlineStr">
        <is>
          <t xml:space="preserve">6505009000</t>
        </is>
      </c>
      <c r="M3" t="inlineStr">
        <is>
          <t xml:space="preserve">по запросу</t>
        </is>
      </c>
      <c r="N3" t="inlineStr">
        <is>
          <t xml:space="preserve">25 × 16 × 2</t>
        </is>
      </c>
      <c r="O3" t="inlineStr">
        <is>
          <t xml:space="preserve">0,12</t>
        </is>
      </c>
      <c r="P3" t="inlineStr">
        <is>
          <t xml:space="preserve">4816148171405</t>
        </is>
      </c>
      <c r="Q3" s="3" t="str">
        <f>HYPERLINK("https://modify.by/img/587808107/1.webp","фото")</f>
        <v>фото</v>
      </c>
      <c r="R3" s="3" t="str">
        <f>HYPERLINK("https://modify.by/catalog/berety/587808107/?utm_source=price&amp;utm_medium=xlsx","открыть")</f>
        <v>открыть</v>
      </c>
    </row>
    <row r="4">
      <c r="A4" t="inlineStr">
        <is>
          <t xml:space="preserve">Женский</t>
        </is>
      </c>
      <c r="B4" t="inlineStr">
        <is>
          <t xml:space="preserve">Блузки</t>
        </is>
      </c>
      <c r="C4" t="inlineStr">
        <is>
          <t xml:space="preserve">Блузка болеро в стиле бохо с вышивкой ришелье</t>
        </is>
      </c>
      <c r="D4" t="inlineStr">
        <is>
          <t xml:space="preserve">T2SH52W05_белый</t>
        </is>
      </c>
      <c r="E4" t="inlineStr">
        <is>
          <t xml:space="preserve">белый</t>
        </is>
      </c>
      <c r="F4" t="inlineStr">
        <is>
          <t xml:space="preserve">42-46</t>
        </is>
      </c>
      <c r="G4">
        <v>39</v>
      </c>
      <c r="H4" s="2">
        <v>32.0</v>
      </c>
      <c r="I4" t="inlineStr">
        <is>
          <t xml:space="preserve">70% пэ, 30% хлопок</t>
        </is>
      </c>
      <c r="J4" t="inlineStr">
        <is>
          <t xml:space="preserve">лето</t>
        </is>
      </c>
      <c r="K4" t="inlineStr">
        <is>
          <t xml:space="preserve">Китай</t>
        </is>
      </c>
      <c r="L4" t="inlineStr">
        <is>
          <t xml:space="preserve">6206400000</t>
        </is>
      </c>
      <c r="M4" t="inlineStr">
        <is>
          <t xml:space="preserve">по запросу</t>
        </is>
      </c>
      <c r="N4" t="inlineStr">
        <is>
          <t xml:space="preserve">26 × 25 × 3</t>
        </is>
      </c>
      <c r="O4" t="inlineStr">
        <is>
          <t xml:space="preserve">0,21</t>
        </is>
      </c>
      <c r="P4" t="inlineStr">
        <is>
          <t xml:space="preserve">4816148182623</t>
        </is>
      </c>
      <c r="Q4" s="3" t="str">
        <f>HYPERLINK("https://modify.by/img/958147640/1.webp","фото")</f>
        <v>фото</v>
      </c>
      <c r="R4" s="3" t="str">
        <f>HYPERLINK("https://modify.by/catalog/bluzki/958147640/?utm_source=price&amp;utm_medium=xlsx","открыть")</f>
        <v>открыть</v>
      </c>
    </row>
    <row r="5">
      <c r="A5" t="inlineStr">
        <is>
          <t xml:space="preserve">Женский</t>
        </is>
      </c>
      <c r="B5" t="inlineStr">
        <is>
          <t xml:space="preserve">Блузки</t>
        </is>
      </c>
      <c r="C5" t="inlineStr">
        <is>
          <t xml:space="preserve">Блузка бохо оверсайз с вышивкой и кружевом хлопок, белый</t>
        </is>
      </c>
      <c r="D5" t="inlineStr">
        <is>
          <t xml:space="preserve">T2SH52W09_белый</t>
        </is>
      </c>
      <c r="E5" t="inlineStr">
        <is>
          <t xml:space="preserve">белый</t>
        </is>
      </c>
      <c r="F5" t="inlineStr">
        <is>
          <t xml:space="preserve">44-52</t>
        </is>
      </c>
      <c r="G5">
        <v>170</v>
      </c>
      <c r="H5" s="2">
        <v>33.0</v>
      </c>
      <c r="I5" t="inlineStr">
        <is>
          <t xml:space="preserve">70% пэ, 30% хлопок</t>
        </is>
      </c>
      <c r="J5" t="inlineStr">
        <is>
          <t xml:space="preserve">лето</t>
        </is>
      </c>
      <c r="K5" t="inlineStr">
        <is>
          <t xml:space="preserve">Китай</t>
        </is>
      </c>
      <c r="L5" t="inlineStr">
        <is>
          <t xml:space="preserve">6206400000</t>
        </is>
      </c>
      <c r="M5" t="inlineStr">
        <is>
          <t xml:space="preserve">по запросу</t>
        </is>
      </c>
      <c r="N5" t="inlineStr">
        <is>
          <t xml:space="preserve">27 × 20 × 2</t>
        </is>
      </c>
      <c r="O5" t="inlineStr">
        <is>
          <t xml:space="preserve">0,18</t>
        </is>
      </c>
      <c r="P5" t="inlineStr">
        <is>
          <t xml:space="preserve">4816148180087</t>
        </is>
      </c>
      <c r="Q5" s="3" t="str">
        <f>HYPERLINK("https://modify.by/img/879969451/1.webp","фото")</f>
        <v>фото</v>
      </c>
      <c r="R5" s="3" t="str">
        <f>HYPERLINK("https://modify.by/catalog/bluzki/879969451/?utm_source=price&amp;utm_medium=xlsx","открыть")</f>
        <v>открыть</v>
      </c>
    </row>
    <row r="6">
      <c r="A6" t="inlineStr">
        <is>
          <t xml:space="preserve">Женский</t>
        </is>
      </c>
      <c r="B6" t="inlineStr">
        <is>
          <t xml:space="preserve">Блузки</t>
        </is>
      </c>
      <c r="C6" t="inlineStr">
        <is>
          <t xml:space="preserve">Блузка бохо оверсайз с вышивкой и кружевом хлопок, кофе с молоком</t>
        </is>
      </c>
      <c r="D6" t="inlineStr">
        <is>
          <t xml:space="preserve">T2SH52W09_кофейный</t>
        </is>
      </c>
      <c r="E6" t="inlineStr">
        <is>
          <t xml:space="preserve">кофе с молоком, капучино</t>
        </is>
      </c>
      <c r="F6" t="inlineStr">
        <is>
          <t xml:space="preserve">44-50</t>
        </is>
      </c>
      <c r="G6">
        <v>12</v>
      </c>
      <c r="H6" s="2">
        <v>33.0</v>
      </c>
      <c r="I6" t="inlineStr">
        <is>
          <t xml:space="preserve">70% пэ, 30% хлопок</t>
        </is>
      </c>
      <c r="J6" t="inlineStr">
        <is>
          <t xml:space="preserve">лето</t>
        </is>
      </c>
      <c r="K6" t="inlineStr">
        <is>
          <t xml:space="preserve">Китай</t>
        </is>
      </c>
      <c r="L6" t="inlineStr">
        <is>
          <t xml:space="preserve">6206400000</t>
        </is>
      </c>
      <c r="M6" t="inlineStr">
        <is>
          <t xml:space="preserve">по запросу</t>
        </is>
      </c>
      <c r="N6" t="inlineStr">
        <is>
          <t xml:space="preserve">27 × 20 × 2</t>
        </is>
      </c>
      <c r="O6" t="inlineStr">
        <is>
          <t xml:space="preserve">0,18</t>
        </is>
      </c>
      <c r="P6" t="inlineStr">
        <is>
          <t xml:space="preserve">4816148180094</t>
        </is>
      </c>
      <c r="Q6" s="3" t="str">
        <f>HYPERLINK("https://modify.by/img/879219542/1.webp","фото")</f>
        <v>фото</v>
      </c>
      <c r="R6" s="3" t="str">
        <f>HYPERLINK("https://modify.by/catalog/bluzki/879219542/?utm_source=price&amp;utm_medium=xlsx","открыть")</f>
        <v>открыть</v>
      </c>
    </row>
    <row r="7">
      <c r="A7" t="inlineStr">
        <is>
          <t xml:space="preserve">Женский</t>
        </is>
      </c>
      <c r="B7" t="inlineStr">
        <is>
          <t xml:space="preserve">Блузки</t>
        </is>
      </c>
      <c r="C7" t="inlineStr">
        <is>
          <t xml:space="preserve">Блузка в стиле бохо с вышивкой ришелье, белый</t>
        </is>
      </c>
      <c r="D7" t="inlineStr">
        <is>
          <t xml:space="preserve">T2SH52W07белый</t>
        </is>
      </c>
      <c r="E7" t="inlineStr">
        <is>
          <t xml:space="preserve">белый</t>
        </is>
      </c>
      <c r="F7" t="inlineStr">
        <is>
          <t xml:space="preserve">42-46</t>
        </is>
      </c>
      <c r="G7">
        <v>1</v>
      </c>
      <c r="H7" s="2">
        <v>36.0</v>
      </c>
      <c r="I7" t="inlineStr">
        <is>
          <t xml:space="preserve">70% пэ, 30% хлопок</t>
        </is>
      </c>
      <c r="J7" t="inlineStr">
        <is>
          <t xml:space="preserve">лето</t>
        </is>
      </c>
      <c r="K7" t="inlineStr">
        <is>
          <t xml:space="preserve">Китай</t>
        </is>
      </c>
      <c r="L7" t="inlineStr">
        <is>
          <t xml:space="preserve">6206400000</t>
        </is>
      </c>
      <c r="M7" t="inlineStr">
        <is>
          <t xml:space="preserve">по запросу</t>
        </is>
      </c>
      <c r="N7" t="inlineStr">
        <is>
          <t xml:space="preserve">30 × 20 × 2</t>
        </is>
      </c>
      <c r="O7" t="inlineStr">
        <is>
          <t xml:space="preserve">0,18</t>
        </is>
      </c>
      <c r="P7" t="inlineStr">
        <is>
          <t xml:space="preserve">4816148182654</t>
        </is>
      </c>
      <c r="Q7" s="3" t="str">
        <f>HYPERLINK("https://modify.by/img/963924183/1.webp","фото")</f>
        <v>фото</v>
      </c>
      <c r="R7" s="3" t="str">
        <f>HYPERLINK("https://modify.by/catalog/bluzki/963924183/?utm_source=price&amp;utm_medium=xlsx","открыть")</f>
        <v>открыть</v>
      </c>
    </row>
    <row r="8">
      <c r="A8" t="inlineStr">
        <is>
          <t xml:space="preserve">Женский</t>
        </is>
      </c>
      <c r="B8" t="inlineStr">
        <is>
          <t xml:space="preserve">Блузки</t>
        </is>
      </c>
      <c r="C8" t="inlineStr">
        <is>
          <t xml:space="preserve">Блузка в стиле бохо с вышивкой ришелье, черный</t>
        </is>
      </c>
      <c r="D8" t="inlineStr">
        <is>
          <t xml:space="preserve">T2SH52W07черный</t>
        </is>
      </c>
      <c r="E8" t="inlineStr">
        <is>
          <t xml:space="preserve">черный</t>
        </is>
      </c>
      <c r="F8" t="inlineStr">
        <is>
          <t xml:space="preserve">42-46</t>
        </is>
      </c>
      <c r="G8">
        <v>36</v>
      </c>
      <c r="H8" s="2">
        <v>39.0</v>
      </c>
      <c r="I8" t="inlineStr">
        <is>
          <t xml:space="preserve">70% пэ, 30% хлопок</t>
        </is>
      </c>
      <c r="J8" t="inlineStr">
        <is>
          <t xml:space="preserve">лето</t>
        </is>
      </c>
      <c r="K8" t="inlineStr">
        <is>
          <t xml:space="preserve">Китай</t>
        </is>
      </c>
      <c r="L8" t="inlineStr">
        <is>
          <t xml:space="preserve">6206400000</t>
        </is>
      </c>
      <c r="M8" t="inlineStr">
        <is>
          <t xml:space="preserve">по запросу</t>
        </is>
      </c>
      <c r="N8" t="inlineStr">
        <is>
          <t xml:space="preserve">30 × 20 × 2</t>
        </is>
      </c>
      <c r="O8" t="inlineStr">
        <is>
          <t xml:space="preserve">0,18</t>
        </is>
      </c>
      <c r="P8" t="inlineStr">
        <is>
          <t xml:space="preserve">4816148182647</t>
        </is>
      </c>
      <c r="Q8" s="3" t="str">
        <f>HYPERLINK("https://modify.by/img/963939775/1.webp","фото")</f>
        <v>фото</v>
      </c>
      <c r="R8" s="3" t="str">
        <f>HYPERLINK("https://modify.by/catalog/bluzki/963939775/?utm_source=price&amp;utm_medium=xlsx","открыть")</f>
        <v>открыть</v>
      </c>
    </row>
    <row r="9">
      <c r="A9" t="inlineStr">
        <is>
          <t xml:space="preserve">Женский</t>
        </is>
      </c>
      <c r="B9" t="inlineStr">
        <is>
          <t xml:space="preserve">Блузки</t>
        </is>
      </c>
      <c r="C9" t="inlineStr">
        <is>
          <t xml:space="preserve">Блузка нарядная вечерняя из металлизированной ткани серебро</t>
        </is>
      </c>
      <c r="D9" t="inlineStr">
        <is>
          <t xml:space="preserve">T3SH52W02серебро</t>
        </is>
      </c>
      <c r="E9" t="inlineStr">
        <is>
          <t xml:space="preserve">серебро</t>
        </is>
      </c>
      <c r="F9" t="inlineStr">
        <is>
          <t xml:space="preserve">52</t>
        </is>
      </c>
      <c r="G9">
        <v>16</v>
      </c>
      <c r="H9" s="2">
        <v>43.0</v>
      </c>
      <c r="I9" t="inlineStr">
        <is>
          <t xml:space="preserve">70% Полиэстер, 28% Вискоза 2% Эластан</t>
        </is>
      </c>
      <c r="J9"/>
      <c r="K9" t="inlineStr">
        <is>
          <t xml:space="preserve">Китай</t>
        </is>
      </c>
      <c r="L9" t="inlineStr">
        <is>
          <t xml:space="preserve">6206400000</t>
        </is>
      </c>
      <c r="M9" t="inlineStr">
        <is>
          <t xml:space="preserve">Декларация № ЕАЭС N RU Д-CN.РА02.В.44039/24, до 28.02.2029</t>
        </is>
      </c>
      <c r="N9" t="inlineStr">
        <is>
          <t xml:space="preserve">30 × 19 × 1</t>
        </is>
      </c>
      <c r="O9" t="inlineStr">
        <is>
          <t xml:space="preserve">0,3</t>
        </is>
      </c>
      <c r="P9" t="inlineStr">
        <is>
          <t xml:space="preserve">4816148168825</t>
        </is>
      </c>
      <c r="Q9" s="3" t="str">
        <f>HYPERLINK("https://modify.by/img/276202456/1.webp","фото")</f>
        <v>фото</v>
      </c>
      <c r="R9" s="3" t="str">
        <f>HYPERLINK("https://modify.by/catalog/bluzki/276202456/?utm_source=price&amp;utm_medium=xlsx","открыть")</f>
        <v>открыть</v>
      </c>
    </row>
    <row r="10">
      <c r="A10" t="inlineStr">
        <is>
          <t xml:space="preserve">Женский</t>
        </is>
      </c>
      <c r="B10" t="inlineStr">
        <is>
          <t xml:space="preserve">Блузки</t>
        </is>
      </c>
      <c r="C10" t="inlineStr">
        <is>
          <t xml:space="preserve">Блузка рубашка летняя хлопковая оверсайз</t>
        </is>
      </c>
      <c r="D10" t="inlineStr">
        <is>
          <t xml:space="preserve">SH52W02Персиковый, розовый</t>
        </is>
      </c>
      <c r="E10" t="inlineStr">
        <is>
          <t xml:space="preserve">персиковый, розовый</t>
        </is>
      </c>
      <c r="F10" t="inlineStr">
        <is>
          <t xml:space="preserve">44</t>
        </is>
      </c>
      <c r="G10">
        <v>25</v>
      </c>
      <c r="H10" s="2">
        <v>28.0</v>
      </c>
      <c r="I10" t="inlineStr">
        <is>
          <t xml:space="preserve">98% хлопок 2% спандекс</t>
        </is>
      </c>
      <c r="J10" t="inlineStr">
        <is>
          <t xml:space="preserve">лето</t>
        </is>
      </c>
      <c r="K10" t="inlineStr">
        <is>
          <t xml:space="preserve">Бангладеш</t>
        </is>
      </c>
      <c r="L10" t="inlineStr">
        <is>
          <t xml:space="preserve">6206909000</t>
        </is>
      </c>
      <c r="M10" t="inlineStr">
        <is>
          <t xml:space="preserve">Декларация № ЕАЭС № BY/112 11.01. ТР017 122.01 08246, до 19.04.2028</t>
        </is>
      </c>
      <c r="N10" t="inlineStr">
        <is>
          <t xml:space="preserve">37 × 28 × 1</t>
        </is>
      </c>
      <c r="O10" t="inlineStr">
        <is>
          <t xml:space="preserve">0,25</t>
        </is>
      </c>
      <c r="P10" t="inlineStr">
        <is>
          <t xml:space="preserve">4816148158345</t>
        </is>
      </c>
      <c r="Q10" s="3" t="str">
        <f>HYPERLINK("https://modify.by/img/348650101/1.webp","фото")</f>
        <v>фото</v>
      </c>
      <c r="R10" s="3" t="str">
        <f>HYPERLINK("https://modify.by/catalog/bluzki/348650101/?utm_source=price&amp;utm_medium=xlsx","открыть")</f>
        <v>открыть</v>
      </c>
    </row>
    <row r="11">
      <c r="A11" t="inlineStr">
        <is>
          <t xml:space="preserve">Женский</t>
        </is>
      </c>
      <c r="B11" t="inlineStr">
        <is>
          <t xml:space="preserve">Блузки</t>
        </is>
      </c>
      <c r="C11" t="inlineStr">
        <is>
          <t xml:space="preserve">Блузка рубашка летняя хлопковая оверсайз</t>
        </is>
      </c>
      <c r="D11" t="inlineStr">
        <is>
          <t xml:space="preserve">SH52W02Персиковый, розовый</t>
        </is>
      </c>
      <c r="E11" t="inlineStr">
        <is>
          <t xml:space="preserve">персиковый, розовый</t>
        </is>
      </c>
      <c r="F11" t="inlineStr">
        <is>
          <t xml:space="preserve">46</t>
        </is>
      </c>
      <c r="G11">
        <v>36</v>
      </c>
      <c r="H11" s="2">
        <v>28.0</v>
      </c>
      <c r="I11" t="inlineStr">
        <is>
          <t xml:space="preserve">98% хлопок 2% спандекс</t>
        </is>
      </c>
      <c r="J11" t="inlineStr">
        <is>
          <t xml:space="preserve">лето</t>
        </is>
      </c>
      <c r="K11" t="inlineStr">
        <is>
          <t xml:space="preserve">Бангладеш</t>
        </is>
      </c>
      <c r="L11" t="inlineStr">
        <is>
          <t xml:space="preserve">6206909000</t>
        </is>
      </c>
      <c r="M11" t="inlineStr">
        <is>
          <t xml:space="preserve">Декларация № ЕАЭС № BY/112 11.01. ТР017 122.01 08246, до 19.04.2028</t>
        </is>
      </c>
      <c r="N11" t="inlineStr">
        <is>
          <t xml:space="preserve">37 × 28 × 1</t>
        </is>
      </c>
      <c r="O11" t="inlineStr">
        <is>
          <t xml:space="preserve">0,25</t>
        </is>
      </c>
      <c r="P11" t="inlineStr">
        <is>
          <t xml:space="preserve">4816148158352</t>
        </is>
      </c>
      <c r="Q11" s="3" t="str">
        <f>HYPERLINK("https://modify.by/img/348650101/1.webp","фото")</f>
        <v>фото</v>
      </c>
      <c r="R11" s="3" t="str">
        <f>HYPERLINK("https://modify.by/catalog/bluzki/348650101/?utm_source=price&amp;utm_medium=xlsx","открыть")</f>
        <v>открыть</v>
      </c>
    </row>
    <row r="12">
      <c r="A12" t="inlineStr">
        <is>
          <t xml:space="preserve">Женский</t>
        </is>
      </c>
      <c r="B12" t="inlineStr">
        <is>
          <t xml:space="preserve">Блузки</t>
        </is>
      </c>
      <c r="C12" t="inlineStr">
        <is>
          <t xml:space="preserve">Блузка рубашка летняя хлопковая оверсайз</t>
        </is>
      </c>
      <c r="D12" t="inlineStr">
        <is>
          <t xml:space="preserve">SH52W02Персиковый, розовый</t>
        </is>
      </c>
      <c r="E12" t="inlineStr">
        <is>
          <t xml:space="preserve">персиковый, розовый</t>
        </is>
      </c>
      <c r="F12" t="inlineStr">
        <is>
          <t xml:space="preserve">48</t>
        </is>
      </c>
      <c r="G12">
        <v>42</v>
      </c>
      <c r="H12" s="2">
        <v>28.0</v>
      </c>
      <c r="I12" t="inlineStr">
        <is>
          <t xml:space="preserve">98% хлопок 2% спандекс</t>
        </is>
      </c>
      <c r="J12" t="inlineStr">
        <is>
          <t xml:space="preserve">лето</t>
        </is>
      </c>
      <c r="K12" t="inlineStr">
        <is>
          <t xml:space="preserve">Бангладеш</t>
        </is>
      </c>
      <c r="L12" t="inlineStr">
        <is>
          <t xml:space="preserve">6206909000</t>
        </is>
      </c>
      <c r="M12" t="inlineStr">
        <is>
          <t xml:space="preserve">Декларация № ЕАЭС № BY/112 11.01. ТР017 122.01 08246, до 19.04.2028</t>
        </is>
      </c>
      <c r="N12" t="inlineStr">
        <is>
          <t xml:space="preserve">37 × 28 × 1</t>
        </is>
      </c>
      <c r="O12" t="inlineStr">
        <is>
          <t xml:space="preserve">0,25</t>
        </is>
      </c>
      <c r="P12" t="inlineStr">
        <is>
          <t xml:space="preserve">4816148158369</t>
        </is>
      </c>
      <c r="Q12" s="3" t="str">
        <f>HYPERLINK("https://modify.by/img/348650101/1.webp","фото")</f>
        <v>фото</v>
      </c>
      <c r="R12" s="3" t="str">
        <f>HYPERLINK("https://modify.by/catalog/bluzki/348650101/?utm_source=price&amp;utm_medium=xlsx","открыть")</f>
        <v>открыть</v>
      </c>
    </row>
    <row r="13">
      <c r="A13" t="inlineStr">
        <is>
          <t xml:space="preserve">Женский</t>
        </is>
      </c>
      <c r="B13" t="inlineStr">
        <is>
          <t xml:space="preserve">Блузки</t>
        </is>
      </c>
      <c r="C13" t="inlineStr">
        <is>
          <t xml:space="preserve">Блузка рубашка летняя хлопковая оверсайз</t>
        </is>
      </c>
      <c r="D13" t="inlineStr">
        <is>
          <t xml:space="preserve">SH52W02Персиковый, розовый</t>
        </is>
      </c>
      <c r="E13" t="inlineStr">
        <is>
          <t xml:space="preserve">персиковый, розовый</t>
        </is>
      </c>
      <c r="F13" t="inlineStr">
        <is>
          <t xml:space="preserve">50</t>
        </is>
      </c>
      <c r="G13">
        <v>34</v>
      </c>
      <c r="H13" s="2">
        <v>28.0</v>
      </c>
      <c r="I13" t="inlineStr">
        <is>
          <t xml:space="preserve">98% хлопок 2% спандекс</t>
        </is>
      </c>
      <c r="J13" t="inlineStr">
        <is>
          <t xml:space="preserve">лето</t>
        </is>
      </c>
      <c r="K13" t="inlineStr">
        <is>
          <t xml:space="preserve">Бангладеш</t>
        </is>
      </c>
      <c r="L13" t="inlineStr">
        <is>
          <t xml:space="preserve">6206909000</t>
        </is>
      </c>
      <c r="M13" t="inlineStr">
        <is>
          <t xml:space="preserve">Декларация № ЕАЭС № BY/112 11.01. ТР017 122.01 08246, до 19.04.2028</t>
        </is>
      </c>
      <c r="N13" t="inlineStr">
        <is>
          <t xml:space="preserve">37 × 28 × 1</t>
        </is>
      </c>
      <c r="O13" t="inlineStr">
        <is>
          <t xml:space="preserve">0,25</t>
        </is>
      </c>
      <c r="P13" t="inlineStr">
        <is>
          <t xml:space="preserve">4816148158376</t>
        </is>
      </c>
      <c r="Q13" s="3" t="str">
        <f>HYPERLINK("https://modify.by/img/348650101/1.webp","фото")</f>
        <v>фото</v>
      </c>
      <c r="R13" s="3" t="str">
        <f>HYPERLINK("https://modify.by/catalog/bluzki/348650101/?utm_source=price&amp;utm_medium=xlsx","открыть")</f>
        <v>открыть</v>
      </c>
    </row>
    <row r="14">
      <c r="A14" t="inlineStr">
        <is>
          <t xml:space="preserve">Женский</t>
        </is>
      </c>
      <c r="B14" t="inlineStr">
        <is>
          <t xml:space="preserve">Блузки</t>
        </is>
      </c>
      <c r="C14" t="inlineStr">
        <is>
          <t xml:space="preserve">Блузка рубашка летняя хлопковая оверсайз</t>
        </is>
      </c>
      <c r="D14" t="inlineStr">
        <is>
          <t xml:space="preserve">SH52W02Персиковый, розовый</t>
        </is>
      </c>
      <c r="E14" t="inlineStr">
        <is>
          <t xml:space="preserve">персиковый, розовый</t>
        </is>
      </c>
      <c r="F14" t="inlineStr">
        <is>
          <t xml:space="preserve">52</t>
        </is>
      </c>
      <c r="G14">
        <v>14</v>
      </c>
      <c r="H14" s="2">
        <v>28.0</v>
      </c>
      <c r="I14" t="inlineStr">
        <is>
          <t xml:space="preserve">98% хлопок 2% спандекс</t>
        </is>
      </c>
      <c r="J14" t="inlineStr">
        <is>
          <t xml:space="preserve">лето</t>
        </is>
      </c>
      <c r="K14" t="inlineStr">
        <is>
          <t xml:space="preserve">Бангладеш</t>
        </is>
      </c>
      <c r="L14" t="inlineStr">
        <is>
          <t xml:space="preserve">6206909000</t>
        </is>
      </c>
      <c r="M14" t="inlineStr">
        <is>
          <t xml:space="preserve">Декларация № ЕАЭС № BY/112 11.01. ТР017 122.01 08246, до 19.04.2028</t>
        </is>
      </c>
      <c r="N14" t="inlineStr">
        <is>
          <t xml:space="preserve">37 × 28 × 1</t>
        </is>
      </c>
      <c r="O14" t="inlineStr">
        <is>
          <t xml:space="preserve">0,25</t>
        </is>
      </c>
      <c r="P14" t="inlineStr">
        <is>
          <t xml:space="preserve">4816148158383</t>
        </is>
      </c>
      <c r="Q14" s="3" t="str">
        <f>HYPERLINK("https://modify.by/img/348650101/1.webp","фото")</f>
        <v>фото</v>
      </c>
      <c r="R14" s="3" t="str">
        <f>HYPERLINK("https://modify.by/catalog/bluzki/348650101/?utm_source=price&amp;utm_medium=xlsx","открыть")</f>
        <v>открыть</v>
      </c>
    </row>
    <row r="15">
      <c r="A15" t="inlineStr">
        <is>
          <t xml:space="preserve">Женский</t>
        </is>
      </c>
      <c r="B15" t="inlineStr">
        <is>
          <t xml:space="preserve">Блузки</t>
        </is>
      </c>
      <c r="C15" t="inlineStr">
        <is>
          <t xml:space="preserve">Блузка рубашка летняя хлопковая с принтом, белый, арт. SH52W02Темно-синий, белый</t>
        </is>
      </c>
      <c r="D15" t="inlineStr">
        <is>
          <t xml:space="preserve">SH52W02Темно-синий, белый</t>
        </is>
      </c>
      <c r="E15" t="inlineStr">
        <is>
          <t xml:space="preserve">темно-синий, белый</t>
        </is>
      </c>
      <c r="F15" t="inlineStr">
        <is>
          <t xml:space="preserve">44</t>
        </is>
      </c>
      <c r="G15">
        <v>7</v>
      </c>
      <c r="H15" s="2">
        <v>28.0</v>
      </c>
      <c r="I15" t="inlineStr">
        <is>
          <t xml:space="preserve">98% хлопок 2% спандекс</t>
        </is>
      </c>
      <c r="J15" t="inlineStr">
        <is>
          <t xml:space="preserve">лето</t>
        </is>
      </c>
      <c r="K15" t="inlineStr">
        <is>
          <t xml:space="preserve">Бангладеш</t>
        </is>
      </c>
      <c r="L15" t="inlineStr">
        <is>
          <t xml:space="preserve">6206909000</t>
        </is>
      </c>
      <c r="M15" t="inlineStr">
        <is>
          <t xml:space="preserve">Декларация № ЕАЭС № BY/112 11.01. ТР017 122.01 08246, до 19.04.2028</t>
        </is>
      </c>
      <c r="N15" t="inlineStr">
        <is>
          <t xml:space="preserve">37 × 28 × 1</t>
        </is>
      </c>
      <c r="O15" t="inlineStr">
        <is>
          <t xml:space="preserve">0,25</t>
        </is>
      </c>
      <c r="P15" t="inlineStr">
        <is>
          <t xml:space="preserve">4816148158147</t>
        </is>
      </c>
      <c r="Q15" s="3" t="str">
        <f>HYPERLINK("https://modify.by/img/348650097/1.webp","фото")</f>
        <v>фото</v>
      </c>
      <c r="R15" s="3" t="str">
        <f>HYPERLINK("https://modify.by/catalog/bluzki/348650097/?utm_source=price&amp;utm_medium=xlsx","открыть")</f>
        <v>открыть</v>
      </c>
    </row>
    <row r="16">
      <c r="A16" t="inlineStr">
        <is>
          <t xml:space="preserve">Женский</t>
        </is>
      </c>
      <c r="B16" t="inlineStr">
        <is>
          <t xml:space="preserve">Блузки</t>
        </is>
      </c>
      <c r="C16" t="inlineStr">
        <is>
          <t xml:space="preserve">Блузка рубашка летняя хлопковая с принтом, белый, арт. SH52W02Темно-синий, белый</t>
        </is>
      </c>
      <c r="D16" t="inlineStr">
        <is>
          <t xml:space="preserve">SH52W02Темно-синий, белый</t>
        </is>
      </c>
      <c r="E16" t="inlineStr">
        <is>
          <t xml:space="preserve">темно-синий, белый</t>
        </is>
      </c>
      <c r="F16" t="inlineStr">
        <is>
          <t xml:space="preserve">46</t>
        </is>
      </c>
      <c r="G16">
        <v>12</v>
      </c>
      <c r="H16" s="2">
        <v>28.0</v>
      </c>
      <c r="I16" t="inlineStr">
        <is>
          <t xml:space="preserve">98% хлопок 2% спандекс</t>
        </is>
      </c>
      <c r="J16" t="inlineStr">
        <is>
          <t xml:space="preserve">лето</t>
        </is>
      </c>
      <c r="K16" t="inlineStr">
        <is>
          <t xml:space="preserve">Бангладеш</t>
        </is>
      </c>
      <c r="L16" t="inlineStr">
        <is>
          <t xml:space="preserve">6206909000</t>
        </is>
      </c>
      <c r="M16" t="inlineStr">
        <is>
          <t xml:space="preserve">Декларация № ЕАЭС № BY/112 11.01. ТР017 122.01 08246, до 19.04.2028</t>
        </is>
      </c>
      <c r="N16" t="inlineStr">
        <is>
          <t xml:space="preserve">37 × 28 × 1</t>
        </is>
      </c>
      <c r="O16" t="inlineStr">
        <is>
          <t xml:space="preserve">0,25</t>
        </is>
      </c>
      <c r="P16" t="inlineStr">
        <is>
          <t xml:space="preserve">4816148158154</t>
        </is>
      </c>
      <c r="Q16" s="3" t="str">
        <f>HYPERLINK("https://modify.by/img/348650097/1.webp","фото")</f>
        <v>фото</v>
      </c>
      <c r="R16" s="3" t="str">
        <f>HYPERLINK("https://modify.by/catalog/bluzki/348650097/?utm_source=price&amp;utm_medium=xlsx","открыть")</f>
        <v>открыть</v>
      </c>
    </row>
    <row r="17">
      <c r="A17" t="inlineStr">
        <is>
          <t xml:space="preserve">Женский</t>
        </is>
      </c>
      <c r="B17" t="inlineStr">
        <is>
          <t xml:space="preserve">Блузки</t>
        </is>
      </c>
      <c r="C17" t="inlineStr">
        <is>
          <t xml:space="preserve">Блузка рубашка летняя хлопковая с принтом, белый, арт. SH52W02Темно-синий, белый</t>
        </is>
      </c>
      <c r="D17" t="inlineStr">
        <is>
          <t xml:space="preserve">SH52W02Темно-синий, белый</t>
        </is>
      </c>
      <c r="E17" t="inlineStr">
        <is>
          <t xml:space="preserve">темно-синий, белый</t>
        </is>
      </c>
      <c r="F17" t="inlineStr">
        <is>
          <t xml:space="preserve">48</t>
        </is>
      </c>
      <c r="G17">
        <v>17</v>
      </c>
      <c r="H17" s="2">
        <v>28.0</v>
      </c>
      <c r="I17" t="inlineStr">
        <is>
          <t xml:space="preserve">98% хлопок 2% спандекс</t>
        </is>
      </c>
      <c r="J17" t="inlineStr">
        <is>
          <t xml:space="preserve">лето</t>
        </is>
      </c>
      <c r="K17" t="inlineStr">
        <is>
          <t xml:space="preserve">Бангладеш</t>
        </is>
      </c>
      <c r="L17" t="inlineStr">
        <is>
          <t xml:space="preserve">6206909000</t>
        </is>
      </c>
      <c r="M17" t="inlineStr">
        <is>
          <t xml:space="preserve">Декларация № ЕАЭС № BY/112 11.01. ТР017 122.01 08246, до 19.04.2028</t>
        </is>
      </c>
      <c r="N17" t="inlineStr">
        <is>
          <t xml:space="preserve">37 × 28 × 1</t>
        </is>
      </c>
      <c r="O17" t="inlineStr">
        <is>
          <t xml:space="preserve">0,25</t>
        </is>
      </c>
      <c r="P17" t="inlineStr">
        <is>
          <t xml:space="preserve">4816148158161</t>
        </is>
      </c>
      <c r="Q17" s="3" t="str">
        <f>HYPERLINK("https://modify.by/img/348650097/1.webp","фото")</f>
        <v>фото</v>
      </c>
      <c r="R17" s="3" t="str">
        <f>HYPERLINK("https://modify.by/catalog/bluzki/348650097/?utm_source=price&amp;utm_medium=xlsx","открыть")</f>
        <v>открыть</v>
      </c>
    </row>
    <row r="18">
      <c r="A18" t="inlineStr">
        <is>
          <t xml:space="preserve">Женский</t>
        </is>
      </c>
      <c r="B18" t="inlineStr">
        <is>
          <t xml:space="preserve">Блузки</t>
        </is>
      </c>
      <c r="C18" t="inlineStr">
        <is>
          <t xml:space="preserve">Блузка рубашка летняя хлопковая с принтом, белый, арт. SH52W02Темно-синий, белый</t>
        </is>
      </c>
      <c r="D18" t="inlineStr">
        <is>
          <t xml:space="preserve">SH52W02Темно-синий, белый</t>
        </is>
      </c>
      <c r="E18" t="inlineStr">
        <is>
          <t xml:space="preserve">темно-синий, белый</t>
        </is>
      </c>
      <c r="F18" t="inlineStr">
        <is>
          <t xml:space="preserve">50</t>
        </is>
      </c>
      <c r="G18">
        <v>9</v>
      </c>
      <c r="H18" s="2">
        <v>28.0</v>
      </c>
      <c r="I18" t="inlineStr">
        <is>
          <t xml:space="preserve">98% хлопок 2% спандекс</t>
        </is>
      </c>
      <c r="J18" t="inlineStr">
        <is>
          <t xml:space="preserve">лето</t>
        </is>
      </c>
      <c r="K18" t="inlineStr">
        <is>
          <t xml:space="preserve">Бангладеш</t>
        </is>
      </c>
      <c r="L18" t="inlineStr">
        <is>
          <t xml:space="preserve">6206909000</t>
        </is>
      </c>
      <c r="M18" t="inlineStr">
        <is>
          <t xml:space="preserve">Декларация № ЕАЭС № BY/112 11.01. ТР017 122.01 08246, до 19.04.2028</t>
        </is>
      </c>
      <c r="N18" t="inlineStr">
        <is>
          <t xml:space="preserve">37 × 28 × 1</t>
        </is>
      </c>
      <c r="O18" t="inlineStr">
        <is>
          <t xml:space="preserve">0,25</t>
        </is>
      </c>
      <c r="P18" t="inlineStr">
        <is>
          <t xml:space="preserve">4816148158178</t>
        </is>
      </c>
      <c r="Q18" s="3" t="str">
        <f>HYPERLINK("https://modify.by/img/348650097/1.webp","фото")</f>
        <v>фото</v>
      </c>
      <c r="R18" s="3" t="str">
        <f>HYPERLINK("https://modify.by/catalog/bluzki/348650097/?utm_source=price&amp;utm_medium=xlsx","открыть")</f>
        <v>открыть</v>
      </c>
    </row>
    <row r="19">
      <c r="A19" t="inlineStr">
        <is>
          <t xml:space="preserve">Женский</t>
        </is>
      </c>
      <c r="B19" t="inlineStr">
        <is>
          <t xml:space="preserve">Блузки</t>
        </is>
      </c>
      <c r="C19" t="inlineStr">
        <is>
          <t xml:space="preserve">Блузка рубашка летняя хлопковая с принтом, белый, арт. SH52W02Темно-синий, белый</t>
        </is>
      </c>
      <c r="D19" t="inlineStr">
        <is>
          <t xml:space="preserve">SH52W02Темно-синий, белый</t>
        </is>
      </c>
      <c r="E19" t="inlineStr">
        <is>
          <t xml:space="preserve">темно-синий, белый</t>
        </is>
      </c>
      <c r="F19" t="inlineStr">
        <is>
          <t xml:space="preserve">52</t>
        </is>
      </c>
      <c r="G19">
        <v>1</v>
      </c>
      <c r="H19" s="2">
        <v>28.0</v>
      </c>
      <c r="I19" t="inlineStr">
        <is>
          <t xml:space="preserve">98% хлопок 2% спандекс</t>
        </is>
      </c>
      <c r="J19" t="inlineStr">
        <is>
          <t xml:space="preserve">лето</t>
        </is>
      </c>
      <c r="K19" t="inlineStr">
        <is>
          <t xml:space="preserve">Бангладеш</t>
        </is>
      </c>
      <c r="L19" t="inlineStr">
        <is>
          <t xml:space="preserve">6206909000</t>
        </is>
      </c>
      <c r="M19" t="inlineStr">
        <is>
          <t xml:space="preserve">Декларация № ЕАЭС № BY/112 11.01. ТР017 122.01 08246, до 19.04.2028</t>
        </is>
      </c>
      <c r="N19" t="inlineStr">
        <is>
          <t xml:space="preserve">37 × 28 × 1</t>
        </is>
      </c>
      <c r="O19" t="inlineStr">
        <is>
          <t xml:space="preserve">0,25</t>
        </is>
      </c>
      <c r="P19" t="inlineStr">
        <is>
          <t xml:space="preserve">4816148158185</t>
        </is>
      </c>
      <c r="Q19" s="3" t="str">
        <f>HYPERLINK("https://modify.by/img/348650097/1.webp","фото")</f>
        <v>фото</v>
      </c>
      <c r="R19" s="3" t="str">
        <f>HYPERLINK("https://modify.by/catalog/bluzki/348650097/?utm_source=price&amp;utm_medium=xlsx","открыть")</f>
        <v>открыть</v>
      </c>
    </row>
    <row r="20">
      <c r="A20" t="inlineStr">
        <is>
          <t xml:space="preserve">Женский</t>
        </is>
      </c>
      <c r="B20" t="inlineStr">
        <is>
          <t xml:space="preserve">Блузки</t>
        </is>
      </c>
      <c r="C20" t="inlineStr">
        <is>
          <t xml:space="preserve">Блузка рубашка летняя хлопковая с принтом, белый, арт. SH52W02Черный, белый</t>
        </is>
      </c>
      <c r="D20" t="inlineStr">
        <is>
          <t xml:space="preserve">SH52W02Черный, белый</t>
        </is>
      </c>
      <c r="E20" t="inlineStr">
        <is>
          <t xml:space="preserve">черный, белый</t>
        </is>
      </c>
      <c r="F20" t="inlineStr">
        <is>
          <t xml:space="preserve">44</t>
        </is>
      </c>
      <c r="G20">
        <v>17</v>
      </c>
      <c r="H20" s="2">
        <v>28.0</v>
      </c>
      <c r="I20" t="inlineStr">
        <is>
          <t xml:space="preserve">98% хлопок 2% спандекс</t>
        </is>
      </c>
      <c r="J20" t="inlineStr">
        <is>
          <t xml:space="preserve">лето</t>
        </is>
      </c>
      <c r="K20" t="inlineStr">
        <is>
          <t xml:space="preserve">Бангладеш</t>
        </is>
      </c>
      <c r="L20" t="inlineStr">
        <is>
          <t xml:space="preserve">6206909000</t>
        </is>
      </c>
      <c r="M20" t="inlineStr">
        <is>
          <t xml:space="preserve">Декларация № ЕАЭС № BY/112 11.01. ТР017 122.01 08246, до 19.04.2028</t>
        </is>
      </c>
      <c r="N20" t="inlineStr">
        <is>
          <t xml:space="preserve">37 × 28 × 1</t>
        </is>
      </c>
      <c r="O20" t="inlineStr">
        <is>
          <t xml:space="preserve">0,25</t>
        </is>
      </c>
      <c r="P20" t="inlineStr">
        <is>
          <t xml:space="preserve">4816148158291</t>
        </is>
      </c>
      <c r="Q20" s="3" t="str">
        <f>HYPERLINK("https://modify.by/img/348650100/1.webp","фото")</f>
        <v>фото</v>
      </c>
      <c r="R20" s="3" t="str">
        <f>HYPERLINK("https://modify.by/catalog/bluzki/348650100/?utm_source=price&amp;utm_medium=xlsx","открыть")</f>
        <v>открыть</v>
      </c>
    </row>
    <row r="21">
      <c r="A21" t="inlineStr">
        <is>
          <t xml:space="preserve">Женский</t>
        </is>
      </c>
      <c r="B21" t="inlineStr">
        <is>
          <t xml:space="preserve">Блузки</t>
        </is>
      </c>
      <c r="C21" t="inlineStr">
        <is>
          <t xml:space="preserve">Блузка рубашка летняя хлопковая с принтом, белый, арт. SH52W02Черный, белый</t>
        </is>
      </c>
      <c r="D21" t="inlineStr">
        <is>
          <t xml:space="preserve">SH52W02Черный, белый</t>
        </is>
      </c>
      <c r="E21" t="inlineStr">
        <is>
          <t xml:space="preserve">черный, белый</t>
        </is>
      </c>
      <c r="F21" t="inlineStr">
        <is>
          <t xml:space="preserve">46</t>
        </is>
      </c>
      <c r="G21">
        <v>20</v>
      </c>
      <c r="H21" s="2">
        <v>28.0</v>
      </c>
      <c r="I21" t="inlineStr">
        <is>
          <t xml:space="preserve">98% хлопок 2% спандекс</t>
        </is>
      </c>
      <c r="J21" t="inlineStr">
        <is>
          <t xml:space="preserve">лето</t>
        </is>
      </c>
      <c r="K21" t="inlineStr">
        <is>
          <t xml:space="preserve">Бангладеш</t>
        </is>
      </c>
      <c r="L21" t="inlineStr">
        <is>
          <t xml:space="preserve">6206909000</t>
        </is>
      </c>
      <c r="M21" t="inlineStr">
        <is>
          <t xml:space="preserve">Декларация № ЕАЭС № BY/112 11.01. ТР017 122.01 08246, до 19.04.2028</t>
        </is>
      </c>
      <c r="N21" t="inlineStr">
        <is>
          <t xml:space="preserve">37 × 28 × 1</t>
        </is>
      </c>
      <c r="O21" t="inlineStr">
        <is>
          <t xml:space="preserve">0,25</t>
        </is>
      </c>
      <c r="P21" t="inlineStr">
        <is>
          <t xml:space="preserve">4816148158307</t>
        </is>
      </c>
      <c r="Q21" s="3" t="str">
        <f>HYPERLINK("https://modify.by/img/348650100/1.webp","фото")</f>
        <v>фото</v>
      </c>
      <c r="R21" s="3" t="str">
        <f>HYPERLINK("https://modify.by/catalog/bluzki/348650100/?utm_source=price&amp;utm_medium=xlsx","открыть")</f>
        <v>открыть</v>
      </c>
    </row>
    <row r="22">
      <c r="A22" t="inlineStr">
        <is>
          <t xml:space="preserve">Женский</t>
        </is>
      </c>
      <c r="B22" t="inlineStr">
        <is>
          <t xml:space="preserve">Блузки</t>
        </is>
      </c>
      <c r="C22" t="inlineStr">
        <is>
          <t xml:space="preserve">Блузка рубашка летняя хлопковая с принтом, белый, арт. SH52W02Черный, белый</t>
        </is>
      </c>
      <c r="D22" t="inlineStr">
        <is>
          <t xml:space="preserve">SH52W02Черный, белый</t>
        </is>
      </c>
      <c r="E22" t="inlineStr">
        <is>
          <t xml:space="preserve">черный, белый</t>
        </is>
      </c>
      <c r="F22" t="inlineStr">
        <is>
          <t xml:space="preserve">48</t>
        </is>
      </c>
      <c r="G22">
        <v>21</v>
      </c>
      <c r="H22" s="2">
        <v>28.0</v>
      </c>
      <c r="I22" t="inlineStr">
        <is>
          <t xml:space="preserve">98% хлопок 2% спандекс</t>
        </is>
      </c>
      <c r="J22" t="inlineStr">
        <is>
          <t xml:space="preserve">лето</t>
        </is>
      </c>
      <c r="K22" t="inlineStr">
        <is>
          <t xml:space="preserve">Бангладеш</t>
        </is>
      </c>
      <c r="L22" t="inlineStr">
        <is>
          <t xml:space="preserve">6206909000</t>
        </is>
      </c>
      <c r="M22" t="inlineStr">
        <is>
          <t xml:space="preserve">Декларация № ЕАЭС № BY/112 11.01. ТР017 122.01 08246, до 19.04.2028</t>
        </is>
      </c>
      <c r="N22" t="inlineStr">
        <is>
          <t xml:space="preserve">37 × 28 × 1</t>
        </is>
      </c>
      <c r="O22" t="inlineStr">
        <is>
          <t xml:space="preserve">0,25</t>
        </is>
      </c>
      <c r="P22" t="inlineStr">
        <is>
          <t xml:space="preserve">4816148158314</t>
        </is>
      </c>
      <c r="Q22" s="3" t="str">
        <f>HYPERLINK("https://modify.by/img/348650100/1.webp","фото")</f>
        <v>фото</v>
      </c>
      <c r="R22" s="3" t="str">
        <f>HYPERLINK("https://modify.by/catalog/bluzki/348650100/?utm_source=price&amp;utm_medium=xlsx","открыть")</f>
        <v>открыть</v>
      </c>
    </row>
    <row r="23">
      <c r="A23" t="inlineStr">
        <is>
          <t xml:space="preserve">Женский</t>
        </is>
      </c>
      <c r="B23" t="inlineStr">
        <is>
          <t xml:space="preserve">Блузки</t>
        </is>
      </c>
      <c r="C23" t="inlineStr">
        <is>
          <t xml:space="preserve">Блузка рубашка летняя хлопковая с принтом, белый, арт. SH52W02Черный, белый</t>
        </is>
      </c>
      <c r="D23" t="inlineStr">
        <is>
          <t xml:space="preserve">SH52W02Черный, белый</t>
        </is>
      </c>
      <c r="E23" t="inlineStr">
        <is>
          <t xml:space="preserve">черный, белый</t>
        </is>
      </c>
      <c r="F23" t="inlineStr">
        <is>
          <t xml:space="preserve">50</t>
        </is>
      </c>
      <c r="G23">
        <v>14</v>
      </c>
      <c r="H23" s="2">
        <v>28.0</v>
      </c>
      <c r="I23" t="inlineStr">
        <is>
          <t xml:space="preserve">98% хлопок 2% спандекс</t>
        </is>
      </c>
      <c r="J23" t="inlineStr">
        <is>
          <t xml:space="preserve">лето</t>
        </is>
      </c>
      <c r="K23" t="inlineStr">
        <is>
          <t xml:space="preserve">Бангладеш</t>
        </is>
      </c>
      <c r="L23" t="inlineStr">
        <is>
          <t xml:space="preserve">6206909000</t>
        </is>
      </c>
      <c r="M23" t="inlineStr">
        <is>
          <t xml:space="preserve">Декларация № ЕАЭС № BY/112 11.01. ТР017 122.01 08246, до 19.04.2028</t>
        </is>
      </c>
      <c r="N23" t="inlineStr">
        <is>
          <t xml:space="preserve">37 × 28 × 1</t>
        </is>
      </c>
      <c r="O23" t="inlineStr">
        <is>
          <t xml:space="preserve">0,25</t>
        </is>
      </c>
      <c r="P23" t="inlineStr">
        <is>
          <t xml:space="preserve">4816148158321</t>
        </is>
      </c>
      <c r="Q23" s="3" t="str">
        <f>HYPERLINK("https://modify.by/img/348650100/1.webp","фото")</f>
        <v>фото</v>
      </c>
      <c r="R23" s="3" t="str">
        <f>HYPERLINK("https://modify.by/catalog/bluzki/348650100/?utm_source=price&amp;utm_medium=xlsx","открыть")</f>
        <v>открыть</v>
      </c>
    </row>
    <row r="24">
      <c r="A24" t="inlineStr">
        <is>
          <t xml:space="preserve">Женский</t>
        </is>
      </c>
      <c r="B24" t="inlineStr">
        <is>
          <t xml:space="preserve">Блузки</t>
        </is>
      </c>
      <c r="C24" t="inlineStr">
        <is>
          <t xml:space="preserve">Блузка рубашка летняя хлопковая с принтом, белый, арт. SH52W02Черный, белый</t>
        </is>
      </c>
      <c r="D24" t="inlineStr">
        <is>
          <t xml:space="preserve">SH52W02Черный, белый</t>
        </is>
      </c>
      <c r="E24" t="inlineStr">
        <is>
          <t xml:space="preserve">черный, белый</t>
        </is>
      </c>
      <c r="F24" t="inlineStr">
        <is>
          <t xml:space="preserve">52</t>
        </is>
      </c>
      <c r="G24">
        <v>1</v>
      </c>
      <c r="H24" s="2">
        <v>28.0</v>
      </c>
      <c r="I24" t="inlineStr">
        <is>
          <t xml:space="preserve">98% хлопок 2% спандекс</t>
        </is>
      </c>
      <c r="J24" t="inlineStr">
        <is>
          <t xml:space="preserve">лето</t>
        </is>
      </c>
      <c r="K24" t="inlineStr">
        <is>
          <t xml:space="preserve">Бангладеш</t>
        </is>
      </c>
      <c r="L24" t="inlineStr">
        <is>
          <t xml:space="preserve">6206909000</t>
        </is>
      </c>
      <c r="M24" t="inlineStr">
        <is>
          <t xml:space="preserve">Декларация № ЕАЭС № BY/112 11.01. ТР017 122.01 08246, до 19.04.2028</t>
        </is>
      </c>
      <c r="N24" t="inlineStr">
        <is>
          <t xml:space="preserve">37 × 28 × 1</t>
        </is>
      </c>
      <c r="O24" t="inlineStr">
        <is>
          <t xml:space="preserve">0,25</t>
        </is>
      </c>
      <c r="P24" t="inlineStr">
        <is>
          <t xml:space="preserve">4816148158338</t>
        </is>
      </c>
      <c r="Q24" s="3" t="str">
        <f>HYPERLINK("https://modify.by/img/348650100/1.webp","фото")</f>
        <v>фото</v>
      </c>
      <c r="R24" s="3" t="str">
        <f>HYPERLINK("https://modify.by/catalog/bluzki/348650100/?utm_source=price&amp;utm_medium=xlsx","открыть")</f>
        <v>открыть</v>
      </c>
    </row>
    <row r="25">
      <c r="A25" t="inlineStr">
        <is>
          <t xml:space="preserve">Женский</t>
        </is>
      </c>
      <c r="B25" t="inlineStr">
        <is>
          <t xml:space="preserve">Блузки</t>
        </is>
      </c>
      <c r="C25" t="inlineStr">
        <is>
          <t xml:space="preserve">Блузка рубашка летняя хлопковая с принтом, бирюзовый</t>
        </is>
      </c>
      <c r="D25" t="inlineStr">
        <is>
          <t xml:space="preserve">SH52W02Черный, бирюзовый</t>
        </is>
      </c>
      <c r="E25" t="inlineStr">
        <is>
          <t xml:space="preserve">черный, бирюзовый</t>
        </is>
      </c>
      <c r="F25" t="inlineStr">
        <is>
          <t xml:space="preserve">44</t>
        </is>
      </c>
      <c r="G25">
        <v>7</v>
      </c>
      <c r="H25" s="2">
        <v>28.0</v>
      </c>
      <c r="I25" t="inlineStr">
        <is>
          <t xml:space="preserve">98% хлопок 2% спандекс</t>
        </is>
      </c>
      <c r="J25" t="inlineStr">
        <is>
          <t xml:space="preserve">лето</t>
        </is>
      </c>
      <c r="K25" t="inlineStr">
        <is>
          <t xml:space="preserve">Бангладеш</t>
        </is>
      </c>
      <c r="L25" t="inlineStr">
        <is>
          <t xml:space="preserve">6206909000</t>
        </is>
      </c>
      <c r="M25" t="inlineStr">
        <is>
          <t xml:space="preserve">Декларация № ЕАЭС № BY/112 11.01. ТР017 122.01 08246, до 19.04.2028</t>
        </is>
      </c>
      <c r="N25" t="inlineStr">
        <is>
          <t xml:space="preserve">37 × 28 × 1</t>
        </is>
      </c>
      <c r="O25" t="inlineStr">
        <is>
          <t xml:space="preserve">0,25</t>
        </is>
      </c>
      <c r="P25" t="inlineStr">
        <is>
          <t xml:space="preserve">4816148158093</t>
        </is>
      </c>
      <c r="Q25" s="3" t="str">
        <f>HYPERLINK("https://modify.by/img/348650095/1.webp","фото")</f>
        <v>фото</v>
      </c>
      <c r="R25" s="3" t="str">
        <f>HYPERLINK("https://modify.by/catalog/bluzki/348650095/?utm_source=price&amp;utm_medium=xlsx","открыть")</f>
        <v>открыть</v>
      </c>
    </row>
    <row r="26">
      <c r="A26" t="inlineStr">
        <is>
          <t xml:space="preserve">Женский</t>
        </is>
      </c>
      <c r="B26" t="inlineStr">
        <is>
          <t xml:space="preserve">Блузки</t>
        </is>
      </c>
      <c r="C26" t="inlineStr">
        <is>
          <t xml:space="preserve">Блузка рубашка летняя хлопковая с принтом, бирюзовый</t>
        </is>
      </c>
      <c r="D26" t="inlineStr">
        <is>
          <t xml:space="preserve">SH52W02Черный, бирюзовый</t>
        </is>
      </c>
      <c r="E26" t="inlineStr">
        <is>
          <t xml:space="preserve">черный, бирюзовый</t>
        </is>
      </c>
      <c r="F26" t="inlineStr">
        <is>
          <t xml:space="preserve">46</t>
        </is>
      </c>
      <c r="G26">
        <v>23</v>
      </c>
      <c r="H26" s="2">
        <v>28.0</v>
      </c>
      <c r="I26" t="inlineStr">
        <is>
          <t xml:space="preserve">98% хлопок 2% спандекс</t>
        </is>
      </c>
      <c r="J26" t="inlineStr">
        <is>
          <t xml:space="preserve">лето</t>
        </is>
      </c>
      <c r="K26" t="inlineStr">
        <is>
          <t xml:space="preserve">Бангладеш</t>
        </is>
      </c>
      <c r="L26" t="inlineStr">
        <is>
          <t xml:space="preserve">6206909000</t>
        </is>
      </c>
      <c r="M26" t="inlineStr">
        <is>
          <t xml:space="preserve">Декларация № ЕАЭС № BY/112 11.01. ТР017 122.01 08246, до 19.04.2028</t>
        </is>
      </c>
      <c r="N26" t="inlineStr">
        <is>
          <t xml:space="preserve">37 × 28 × 1</t>
        </is>
      </c>
      <c r="O26" t="inlineStr">
        <is>
          <t xml:space="preserve">0,25</t>
        </is>
      </c>
      <c r="P26" t="inlineStr">
        <is>
          <t xml:space="preserve">4816148158109</t>
        </is>
      </c>
      <c r="Q26" s="3" t="str">
        <f>HYPERLINK("https://modify.by/img/348650095/1.webp","фото")</f>
        <v>фото</v>
      </c>
      <c r="R26" s="3" t="str">
        <f>HYPERLINK("https://modify.by/catalog/bluzki/348650095/?utm_source=price&amp;utm_medium=xlsx","открыть")</f>
        <v>открыть</v>
      </c>
    </row>
    <row r="27">
      <c r="A27" t="inlineStr">
        <is>
          <t xml:space="preserve">Женский</t>
        </is>
      </c>
      <c r="B27" t="inlineStr">
        <is>
          <t xml:space="preserve">Блузки</t>
        </is>
      </c>
      <c r="C27" t="inlineStr">
        <is>
          <t xml:space="preserve">Блузка рубашка летняя хлопковая с принтом, бирюзовый</t>
        </is>
      </c>
      <c r="D27" t="inlineStr">
        <is>
          <t xml:space="preserve">SH52W02Черный, бирюзовый</t>
        </is>
      </c>
      <c r="E27" t="inlineStr">
        <is>
          <t xml:space="preserve">черный, бирюзовый</t>
        </is>
      </c>
      <c r="F27" t="inlineStr">
        <is>
          <t xml:space="preserve">48</t>
        </is>
      </c>
      <c r="G27">
        <v>9</v>
      </c>
      <c r="H27" s="2">
        <v>28.0</v>
      </c>
      <c r="I27" t="inlineStr">
        <is>
          <t xml:space="preserve">98% хлопок 2% спандекс</t>
        </is>
      </c>
      <c r="J27" t="inlineStr">
        <is>
          <t xml:space="preserve">лето</t>
        </is>
      </c>
      <c r="K27" t="inlineStr">
        <is>
          <t xml:space="preserve">Бангладеш</t>
        </is>
      </c>
      <c r="L27" t="inlineStr">
        <is>
          <t xml:space="preserve">6206909000</t>
        </is>
      </c>
      <c r="M27" t="inlineStr">
        <is>
          <t xml:space="preserve">Декларация № ЕАЭС № BY/112 11.01. ТР017 122.01 08246, до 19.04.2028</t>
        </is>
      </c>
      <c r="N27" t="inlineStr">
        <is>
          <t xml:space="preserve">37 × 28 × 1</t>
        </is>
      </c>
      <c r="O27" t="inlineStr">
        <is>
          <t xml:space="preserve">0,25</t>
        </is>
      </c>
      <c r="P27" t="inlineStr">
        <is>
          <t xml:space="preserve">4816148158116</t>
        </is>
      </c>
      <c r="Q27" s="3" t="str">
        <f>HYPERLINK("https://modify.by/img/348650095/1.webp","фото")</f>
        <v>фото</v>
      </c>
      <c r="R27" s="3" t="str">
        <f>HYPERLINK("https://modify.by/catalog/bluzki/348650095/?utm_source=price&amp;utm_medium=xlsx","открыть")</f>
        <v>открыть</v>
      </c>
    </row>
    <row r="28">
      <c r="A28" t="inlineStr">
        <is>
          <t xml:space="preserve">Женский</t>
        </is>
      </c>
      <c r="B28" t="inlineStr">
        <is>
          <t xml:space="preserve">Блузки</t>
        </is>
      </c>
      <c r="C28" t="inlineStr">
        <is>
          <t xml:space="preserve">Блузка рубашка летняя хлопковая с принтом, бирюзовый</t>
        </is>
      </c>
      <c r="D28" t="inlineStr">
        <is>
          <t xml:space="preserve">SH52W02Черный, бирюзовый</t>
        </is>
      </c>
      <c r="E28" t="inlineStr">
        <is>
          <t xml:space="preserve">черный, бирюзовый</t>
        </is>
      </c>
      <c r="F28" t="inlineStr">
        <is>
          <t xml:space="preserve">50</t>
        </is>
      </c>
      <c r="G28">
        <v>13</v>
      </c>
      <c r="H28" s="2">
        <v>28.0</v>
      </c>
      <c r="I28" t="inlineStr">
        <is>
          <t xml:space="preserve">98% хлопок 2% спандекс</t>
        </is>
      </c>
      <c r="J28" t="inlineStr">
        <is>
          <t xml:space="preserve">лето</t>
        </is>
      </c>
      <c r="K28" t="inlineStr">
        <is>
          <t xml:space="preserve">Бангладеш</t>
        </is>
      </c>
      <c r="L28" t="inlineStr">
        <is>
          <t xml:space="preserve">6206909000</t>
        </is>
      </c>
      <c r="M28" t="inlineStr">
        <is>
          <t xml:space="preserve">Декларация № ЕАЭС № BY/112 11.01. ТР017 122.01 08246, до 19.04.2028</t>
        </is>
      </c>
      <c r="N28" t="inlineStr">
        <is>
          <t xml:space="preserve">37 × 28 × 1</t>
        </is>
      </c>
      <c r="O28" t="inlineStr">
        <is>
          <t xml:space="preserve">0,25</t>
        </is>
      </c>
      <c r="P28" t="inlineStr">
        <is>
          <t xml:space="preserve">4816148158123</t>
        </is>
      </c>
      <c r="Q28" s="3" t="str">
        <f>HYPERLINK("https://modify.by/img/348650095/1.webp","фото")</f>
        <v>фото</v>
      </c>
      <c r="R28" s="3" t="str">
        <f>HYPERLINK("https://modify.by/catalog/bluzki/348650095/?utm_source=price&amp;utm_medium=xlsx","открыть")</f>
        <v>открыть</v>
      </c>
    </row>
    <row r="29">
      <c r="A29" t="inlineStr">
        <is>
          <t xml:space="preserve">Женский</t>
        </is>
      </c>
      <c r="B29" t="inlineStr">
        <is>
          <t xml:space="preserve">Блузки</t>
        </is>
      </c>
      <c r="C29" t="inlineStr">
        <is>
          <t xml:space="preserve">Блузка рубашка летняя хлопковая с принтом, бирюзовый</t>
        </is>
      </c>
      <c r="D29" t="inlineStr">
        <is>
          <t xml:space="preserve">SH52W02Черный, бирюзовый</t>
        </is>
      </c>
      <c r="E29" t="inlineStr">
        <is>
          <t xml:space="preserve">черный, бирюзовый</t>
        </is>
      </c>
      <c r="F29" t="inlineStr">
        <is>
          <t xml:space="preserve">52</t>
        </is>
      </c>
      <c r="G29">
        <v>1</v>
      </c>
      <c r="H29" s="2">
        <v>28.0</v>
      </c>
      <c r="I29" t="inlineStr">
        <is>
          <t xml:space="preserve">98% хлопок 2% спандекс</t>
        </is>
      </c>
      <c r="J29" t="inlineStr">
        <is>
          <t xml:space="preserve">лето</t>
        </is>
      </c>
      <c r="K29" t="inlineStr">
        <is>
          <t xml:space="preserve">Бангладеш</t>
        </is>
      </c>
      <c r="L29" t="inlineStr">
        <is>
          <t xml:space="preserve">6206909000</t>
        </is>
      </c>
      <c r="M29" t="inlineStr">
        <is>
          <t xml:space="preserve">Декларация № ЕАЭС № BY/112 11.01. ТР017 122.01 08246, до 19.04.2028</t>
        </is>
      </c>
      <c r="N29" t="inlineStr">
        <is>
          <t xml:space="preserve">37 × 28 × 1</t>
        </is>
      </c>
      <c r="O29" t="inlineStr">
        <is>
          <t xml:space="preserve">0,25</t>
        </is>
      </c>
      <c r="P29" t="inlineStr">
        <is>
          <t xml:space="preserve">4816148158130</t>
        </is>
      </c>
      <c r="Q29" s="3" t="str">
        <f>HYPERLINK("https://modify.by/img/348650095/1.webp","фото")</f>
        <v>фото</v>
      </c>
      <c r="R29" s="3" t="str">
        <f>HYPERLINK("https://modify.by/catalog/bluzki/348650095/?utm_source=price&amp;utm_medium=xlsx","открыть")</f>
        <v>открыть</v>
      </c>
    </row>
    <row r="30">
      <c r="A30" t="inlineStr">
        <is>
          <t xml:space="preserve">Женский</t>
        </is>
      </c>
      <c r="B30" t="inlineStr">
        <is>
          <t xml:space="preserve">Блузки</t>
        </is>
      </c>
      <c r="C30" t="inlineStr">
        <is>
          <t xml:space="preserve">Блузка рубашка летняя хлопковая с принтом, желтый</t>
        </is>
      </c>
      <c r="D30" t="inlineStr">
        <is>
          <t xml:space="preserve">SH52W02Желтый, бордовый</t>
        </is>
      </c>
      <c r="E30" t="inlineStr">
        <is>
          <t xml:space="preserve">желтый, бордовый</t>
        </is>
      </c>
      <c r="F30" t="inlineStr">
        <is>
          <t xml:space="preserve">42</t>
        </is>
      </c>
      <c r="G30">
        <v>2</v>
      </c>
      <c r="H30" s="2">
        <v>28.0</v>
      </c>
      <c r="I30" t="inlineStr">
        <is>
          <t xml:space="preserve">98% хлопок 2% спандекс</t>
        </is>
      </c>
      <c r="J30" t="inlineStr">
        <is>
          <t xml:space="preserve">лето</t>
        </is>
      </c>
      <c r="K30" t="inlineStr">
        <is>
          <t xml:space="preserve">Бангладеш</t>
        </is>
      </c>
      <c r="L30" t="inlineStr">
        <is>
          <t xml:space="preserve">6206909000</t>
        </is>
      </c>
      <c r="M30" t="inlineStr">
        <is>
          <t xml:space="preserve">Декларация № ЕАЭС № BY/112 11.01. ТР017 122.01 08246, до 19.04.2028</t>
        </is>
      </c>
      <c r="N30" t="inlineStr">
        <is>
          <t xml:space="preserve">37 × 28 × 1</t>
        </is>
      </c>
      <c r="O30" t="inlineStr">
        <is>
          <t xml:space="preserve">0,25</t>
        </is>
      </c>
      <c r="P30" t="inlineStr">
        <is>
          <t xml:space="preserve">4816148158024</t>
        </is>
      </c>
      <c r="Q30" s="3" t="str">
        <f>HYPERLINK("https://modify.by/img/348650094/1.webp","фото")</f>
        <v>фото</v>
      </c>
      <c r="R30" s="3" t="str">
        <f>HYPERLINK("https://modify.by/catalog/bluzki/348650094/?utm_source=price&amp;utm_medium=xlsx","открыть")</f>
        <v>открыть</v>
      </c>
    </row>
    <row r="31">
      <c r="A31" t="inlineStr">
        <is>
          <t xml:space="preserve">Женский</t>
        </is>
      </c>
      <c r="B31" t="inlineStr">
        <is>
          <t xml:space="preserve">Блузки</t>
        </is>
      </c>
      <c r="C31" t="inlineStr">
        <is>
          <t xml:space="preserve">Блузка рубашка летняя хлопковая с принтом, желтый</t>
        </is>
      </c>
      <c r="D31" t="inlineStr">
        <is>
          <t xml:space="preserve">SH52W02Желтый, бордовый</t>
        </is>
      </c>
      <c r="E31" t="inlineStr">
        <is>
          <t xml:space="preserve">желтый, бордовый</t>
        </is>
      </c>
      <c r="F31" t="inlineStr">
        <is>
          <t xml:space="preserve">44</t>
        </is>
      </c>
      <c r="G31">
        <v>2</v>
      </c>
      <c r="H31" s="2">
        <v>28.0</v>
      </c>
      <c r="I31" t="inlineStr">
        <is>
          <t xml:space="preserve">98% хлопок 2% спандекс</t>
        </is>
      </c>
      <c r="J31" t="inlineStr">
        <is>
          <t xml:space="preserve">лето</t>
        </is>
      </c>
      <c r="K31" t="inlineStr">
        <is>
          <t xml:space="preserve">Бангладеш</t>
        </is>
      </c>
      <c r="L31" t="inlineStr">
        <is>
          <t xml:space="preserve">6206909000</t>
        </is>
      </c>
      <c r="M31" t="inlineStr">
        <is>
          <t xml:space="preserve">Декларация № ЕАЭС № BY/112 11.01. ТР017 122.01 08246, до 19.04.2028</t>
        </is>
      </c>
      <c r="N31" t="inlineStr">
        <is>
          <t xml:space="preserve">37 × 28 × 1</t>
        </is>
      </c>
      <c r="O31" t="inlineStr">
        <is>
          <t xml:space="preserve">0,25</t>
        </is>
      </c>
      <c r="P31" t="inlineStr">
        <is>
          <t xml:space="preserve">4816148158031</t>
        </is>
      </c>
      <c r="Q31" s="3" t="str">
        <f>HYPERLINK("https://modify.by/img/348650094/1.webp","фото")</f>
        <v>фото</v>
      </c>
      <c r="R31" s="3" t="str">
        <f>HYPERLINK("https://modify.by/catalog/bluzki/348650094/?utm_source=price&amp;utm_medium=xlsx","открыть")</f>
        <v>открыть</v>
      </c>
    </row>
    <row r="32">
      <c r="A32" t="inlineStr">
        <is>
          <t xml:space="preserve">Женский</t>
        </is>
      </c>
      <c r="B32" t="inlineStr">
        <is>
          <t xml:space="preserve">Блузки</t>
        </is>
      </c>
      <c r="C32" t="inlineStr">
        <is>
          <t xml:space="preserve">Блузка рубашка летняя хлопковая с принтом, желтый</t>
        </is>
      </c>
      <c r="D32" t="inlineStr">
        <is>
          <t xml:space="preserve">SH52W02Желтый, бордовый</t>
        </is>
      </c>
      <c r="E32" t="inlineStr">
        <is>
          <t xml:space="preserve">желтый, бордовый</t>
        </is>
      </c>
      <c r="F32" t="inlineStr">
        <is>
          <t xml:space="preserve">46</t>
        </is>
      </c>
      <c r="G32">
        <v>4</v>
      </c>
      <c r="H32" s="2">
        <v>28.0</v>
      </c>
      <c r="I32" t="inlineStr">
        <is>
          <t xml:space="preserve">98% хлопок 2% спандекс</t>
        </is>
      </c>
      <c r="J32" t="inlineStr">
        <is>
          <t xml:space="preserve">лето</t>
        </is>
      </c>
      <c r="K32" t="inlineStr">
        <is>
          <t xml:space="preserve">Бангладеш</t>
        </is>
      </c>
      <c r="L32" t="inlineStr">
        <is>
          <t xml:space="preserve">6206909000</t>
        </is>
      </c>
      <c r="M32" t="inlineStr">
        <is>
          <t xml:space="preserve">Декларация № ЕАЭС № BY/112 11.01. ТР017 122.01 08246, до 19.04.2028</t>
        </is>
      </c>
      <c r="N32" t="inlineStr">
        <is>
          <t xml:space="preserve">37 × 28 × 1</t>
        </is>
      </c>
      <c r="O32" t="inlineStr">
        <is>
          <t xml:space="preserve">0,25</t>
        </is>
      </c>
      <c r="P32" t="inlineStr">
        <is>
          <t xml:space="preserve">4816148158048</t>
        </is>
      </c>
      <c r="Q32" s="3" t="str">
        <f>HYPERLINK("https://modify.by/img/348650094/1.webp","фото")</f>
        <v>фото</v>
      </c>
      <c r="R32" s="3" t="str">
        <f>HYPERLINK("https://modify.by/catalog/bluzki/348650094/?utm_source=price&amp;utm_medium=xlsx","открыть")</f>
        <v>открыть</v>
      </c>
    </row>
    <row r="33">
      <c r="A33" t="inlineStr">
        <is>
          <t xml:space="preserve">Женский</t>
        </is>
      </c>
      <c r="B33" t="inlineStr">
        <is>
          <t xml:space="preserve">Блузки</t>
        </is>
      </c>
      <c r="C33" t="inlineStr">
        <is>
          <t xml:space="preserve">Блузка рубашка летняя хлопковая с принтом, желтый</t>
        </is>
      </c>
      <c r="D33" t="inlineStr">
        <is>
          <t xml:space="preserve">SH52W02Желтый, бордовый</t>
        </is>
      </c>
      <c r="E33" t="inlineStr">
        <is>
          <t xml:space="preserve">желтый, бордовый</t>
        </is>
      </c>
      <c r="F33" t="inlineStr">
        <is>
          <t xml:space="preserve">48</t>
        </is>
      </c>
      <c r="G33">
        <v>7</v>
      </c>
      <c r="H33" s="2">
        <v>28.0</v>
      </c>
      <c r="I33" t="inlineStr">
        <is>
          <t xml:space="preserve">98% хлопок 2% спандекс</t>
        </is>
      </c>
      <c r="J33" t="inlineStr">
        <is>
          <t xml:space="preserve">лето</t>
        </is>
      </c>
      <c r="K33" t="inlineStr">
        <is>
          <t xml:space="preserve">Бангладеш</t>
        </is>
      </c>
      <c r="L33" t="inlineStr">
        <is>
          <t xml:space="preserve">6206909000</t>
        </is>
      </c>
      <c r="M33" t="inlineStr">
        <is>
          <t xml:space="preserve">Декларация № ЕАЭС № BY/112 11.01. ТР017 122.01 08246, до 19.04.2028</t>
        </is>
      </c>
      <c r="N33" t="inlineStr">
        <is>
          <t xml:space="preserve">37 × 28 × 1</t>
        </is>
      </c>
      <c r="O33" t="inlineStr">
        <is>
          <t xml:space="preserve">0,25</t>
        </is>
      </c>
      <c r="P33" t="inlineStr">
        <is>
          <t xml:space="preserve">4816148158055</t>
        </is>
      </c>
      <c r="Q33" s="3" t="str">
        <f>HYPERLINK("https://modify.by/img/348650094/1.webp","фото")</f>
        <v>фото</v>
      </c>
      <c r="R33" s="3" t="str">
        <f>HYPERLINK("https://modify.by/catalog/bluzki/348650094/?utm_source=price&amp;utm_medium=xlsx","открыть")</f>
        <v>открыть</v>
      </c>
    </row>
    <row r="34">
      <c r="A34" t="inlineStr">
        <is>
          <t xml:space="preserve">Женский</t>
        </is>
      </c>
      <c r="B34" t="inlineStr">
        <is>
          <t xml:space="preserve">Блузки</t>
        </is>
      </c>
      <c r="C34" t="inlineStr">
        <is>
          <t xml:space="preserve">Блузка рубашка летняя хлопковая с принтом, желтый</t>
        </is>
      </c>
      <c r="D34" t="inlineStr">
        <is>
          <t xml:space="preserve">SH52W02Желтый, бордовый</t>
        </is>
      </c>
      <c r="E34" t="inlineStr">
        <is>
          <t xml:space="preserve">желтый, бордовый</t>
        </is>
      </c>
      <c r="F34" t="inlineStr">
        <is>
          <t xml:space="preserve">50</t>
        </is>
      </c>
      <c r="G34">
        <v>7</v>
      </c>
      <c r="H34" s="2">
        <v>28.0</v>
      </c>
      <c r="I34" t="inlineStr">
        <is>
          <t xml:space="preserve">98% хлопок 2% спандекс</t>
        </is>
      </c>
      <c r="J34" t="inlineStr">
        <is>
          <t xml:space="preserve">лето</t>
        </is>
      </c>
      <c r="K34" t="inlineStr">
        <is>
          <t xml:space="preserve">Бангладеш</t>
        </is>
      </c>
      <c r="L34" t="inlineStr">
        <is>
          <t xml:space="preserve">6206909000</t>
        </is>
      </c>
      <c r="M34" t="inlineStr">
        <is>
          <t xml:space="preserve">Декларация № ЕАЭС № BY/112 11.01. ТР017 122.01 08246, до 19.04.2028</t>
        </is>
      </c>
      <c r="N34" t="inlineStr">
        <is>
          <t xml:space="preserve">37 × 28 × 1</t>
        </is>
      </c>
      <c r="O34" t="inlineStr">
        <is>
          <t xml:space="preserve">0,25</t>
        </is>
      </c>
      <c r="P34" t="inlineStr">
        <is>
          <t xml:space="preserve">4816148158062</t>
        </is>
      </c>
      <c r="Q34" s="3" t="str">
        <f>HYPERLINK("https://modify.by/img/348650094/1.webp","фото")</f>
        <v>фото</v>
      </c>
      <c r="R34" s="3" t="str">
        <f>HYPERLINK("https://modify.by/catalog/bluzki/348650094/?utm_source=price&amp;utm_medium=xlsx","открыть")</f>
        <v>открыть</v>
      </c>
    </row>
    <row r="35">
      <c r="A35" t="inlineStr">
        <is>
          <t xml:space="preserve">Женский</t>
        </is>
      </c>
      <c r="B35" t="inlineStr">
        <is>
          <t xml:space="preserve">Блузки</t>
        </is>
      </c>
      <c r="C35" t="inlineStr">
        <is>
          <t xml:space="preserve">Блузка рубашка летняя хлопковая с принтом, желтый</t>
        </is>
      </c>
      <c r="D35" t="inlineStr">
        <is>
          <t xml:space="preserve">SH52W02Желтый, бордовый</t>
        </is>
      </c>
      <c r="E35" t="inlineStr">
        <is>
          <t xml:space="preserve">желтый, бордовый</t>
        </is>
      </c>
      <c r="F35" t="inlineStr">
        <is>
          <t xml:space="preserve">52</t>
        </is>
      </c>
      <c r="G35">
        <v>4</v>
      </c>
      <c r="H35" s="2">
        <v>28.0</v>
      </c>
      <c r="I35" t="inlineStr">
        <is>
          <t xml:space="preserve">98% хлопок 2% спандекс</t>
        </is>
      </c>
      <c r="J35" t="inlineStr">
        <is>
          <t xml:space="preserve">лето</t>
        </is>
      </c>
      <c r="K35" t="inlineStr">
        <is>
          <t xml:space="preserve">Бангладеш</t>
        </is>
      </c>
      <c r="L35" t="inlineStr">
        <is>
          <t xml:space="preserve">6206909000</t>
        </is>
      </c>
      <c r="M35" t="inlineStr">
        <is>
          <t xml:space="preserve">Декларация № ЕАЭС № BY/112 11.01. ТР017 122.01 08246, до 19.04.2028</t>
        </is>
      </c>
      <c r="N35" t="inlineStr">
        <is>
          <t xml:space="preserve">37 × 28 × 1</t>
        </is>
      </c>
      <c r="O35" t="inlineStr">
        <is>
          <t xml:space="preserve">0,25</t>
        </is>
      </c>
      <c r="P35" t="inlineStr">
        <is>
          <t xml:space="preserve">4816148158079</t>
        </is>
      </c>
      <c r="Q35" s="3" t="str">
        <f>HYPERLINK("https://modify.by/img/348650094/1.webp","фото")</f>
        <v>фото</v>
      </c>
      <c r="R35" s="3" t="str">
        <f>HYPERLINK("https://modify.by/catalog/bluzki/348650094/?utm_source=price&amp;utm_medium=xlsx","открыть")</f>
        <v>открыть</v>
      </c>
    </row>
    <row r="36">
      <c r="A36" t="inlineStr">
        <is>
          <t xml:space="preserve">Женский</t>
        </is>
      </c>
      <c r="B36" t="inlineStr">
        <is>
          <t xml:space="preserve">Блузки</t>
        </is>
      </c>
      <c r="C36" t="inlineStr">
        <is>
          <t xml:space="preserve">Блузка рубашка летняя хлопковая с принтом, песочный</t>
        </is>
      </c>
      <c r="D36" t="inlineStr">
        <is>
          <t xml:space="preserve">SH52W02Темно-синий, песочный</t>
        </is>
      </c>
      <c r="E36" t="inlineStr">
        <is>
          <t xml:space="preserve">темно-синий, песочный</t>
        </is>
      </c>
      <c r="F36" t="inlineStr">
        <is>
          <t xml:space="preserve">44</t>
        </is>
      </c>
      <c r="G36">
        <v>17</v>
      </c>
      <c r="H36" s="2">
        <v>28.0</v>
      </c>
      <c r="I36" t="inlineStr">
        <is>
          <t xml:space="preserve">98% хлопок 2% спандекс</t>
        </is>
      </c>
      <c r="J36" t="inlineStr">
        <is>
          <t xml:space="preserve">лето</t>
        </is>
      </c>
      <c r="K36" t="inlineStr">
        <is>
          <t xml:space="preserve">Бангладеш</t>
        </is>
      </c>
      <c r="L36" t="inlineStr">
        <is>
          <t xml:space="preserve">6206909000</t>
        </is>
      </c>
      <c r="M36" t="inlineStr">
        <is>
          <t xml:space="preserve">Декларация № ЕАЭС № BY/112 11.01. ТР017 122.01 08246, до 19.04.2028</t>
        </is>
      </c>
      <c r="N36" t="inlineStr">
        <is>
          <t xml:space="preserve">37 × 28 × 1</t>
        </is>
      </c>
      <c r="O36" t="inlineStr">
        <is>
          <t xml:space="preserve">0,25</t>
        </is>
      </c>
      <c r="P36" t="inlineStr">
        <is>
          <t xml:space="preserve">4816148157911</t>
        </is>
      </c>
      <c r="Q36" s="3" t="str">
        <f>HYPERLINK("https://modify.by/img/348650086/1.webp","фото")</f>
        <v>фото</v>
      </c>
      <c r="R36" s="3" t="str">
        <f>HYPERLINK("https://modify.by/catalog/bluzki/348650086/?utm_source=price&amp;utm_medium=xlsx","открыть")</f>
        <v>открыть</v>
      </c>
    </row>
    <row r="37">
      <c r="A37" t="inlineStr">
        <is>
          <t xml:space="preserve">Женский</t>
        </is>
      </c>
      <c r="B37" t="inlineStr">
        <is>
          <t xml:space="preserve">Блузки</t>
        </is>
      </c>
      <c r="C37" t="inlineStr">
        <is>
          <t xml:space="preserve">Блузка рубашка летняя хлопковая с принтом, песочный</t>
        </is>
      </c>
      <c r="D37" t="inlineStr">
        <is>
          <t xml:space="preserve">SH52W02Темно-синий, песочный</t>
        </is>
      </c>
      <c r="E37" t="inlineStr">
        <is>
          <t xml:space="preserve">темно-синий, песочный</t>
        </is>
      </c>
      <c r="F37" t="inlineStr">
        <is>
          <t xml:space="preserve">46</t>
        </is>
      </c>
      <c r="G37">
        <v>66</v>
      </c>
      <c r="H37" s="2">
        <v>28.0</v>
      </c>
      <c r="I37" t="inlineStr">
        <is>
          <t xml:space="preserve">98% хлопок 2% спандекс</t>
        </is>
      </c>
      <c r="J37" t="inlineStr">
        <is>
          <t xml:space="preserve">лето</t>
        </is>
      </c>
      <c r="K37" t="inlineStr">
        <is>
          <t xml:space="preserve">Бангладеш</t>
        </is>
      </c>
      <c r="L37" t="inlineStr">
        <is>
          <t xml:space="preserve">6206909000</t>
        </is>
      </c>
      <c r="M37" t="inlineStr">
        <is>
          <t xml:space="preserve">Декларация № ЕАЭС № BY/112 11.01. ТР017 122.01 08246, до 19.04.2028</t>
        </is>
      </c>
      <c r="N37" t="inlineStr">
        <is>
          <t xml:space="preserve">37 × 28 × 1</t>
        </is>
      </c>
      <c r="O37" t="inlineStr">
        <is>
          <t xml:space="preserve">0,25</t>
        </is>
      </c>
      <c r="P37" t="inlineStr">
        <is>
          <t xml:space="preserve">4816148157928</t>
        </is>
      </c>
      <c r="Q37" s="3" t="str">
        <f>HYPERLINK("https://modify.by/img/348650086/1.webp","фото")</f>
        <v>фото</v>
      </c>
      <c r="R37" s="3" t="str">
        <f>HYPERLINK("https://modify.by/catalog/bluzki/348650086/?utm_source=price&amp;utm_medium=xlsx","открыть")</f>
        <v>открыть</v>
      </c>
    </row>
    <row r="38">
      <c r="A38" t="inlineStr">
        <is>
          <t xml:space="preserve">Женский</t>
        </is>
      </c>
      <c r="B38" t="inlineStr">
        <is>
          <t xml:space="preserve">Блузки</t>
        </is>
      </c>
      <c r="C38" t="inlineStr">
        <is>
          <t xml:space="preserve">Блузка рубашка летняя хлопковая с принтом, песочный</t>
        </is>
      </c>
      <c r="D38" t="inlineStr">
        <is>
          <t xml:space="preserve">SH52W02Темно-синий, песочный</t>
        </is>
      </c>
      <c r="E38" t="inlineStr">
        <is>
          <t xml:space="preserve">темно-синий, песочный</t>
        </is>
      </c>
      <c r="F38" t="inlineStr">
        <is>
          <t xml:space="preserve">48</t>
        </is>
      </c>
      <c r="G38">
        <v>52</v>
      </c>
      <c r="H38" s="2">
        <v>28.0</v>
      </c>
      <c r="I38" t="inlineStr">
        <is>
          <t xml:space="preserve">98% хлопок 2% спандекс</t>
        </is>
      </c>
      <c r="J38" t="inlineStr">
        <is>
          <t xml:space="preserve">лето</t>
        </is>
      </c>
      <c r="K38" t="inlineStr">
        <is>
          <t xml:space="preserve">Бангладеш</t>
        </is>
      </c>
      <c r="L38" t="inlineStr">
        <is>
          <t xml:space="preserve">6206909000</t>
        </is>
      </c>
      <c r="M38" t="inlineStr">
        <is>
          <t xml:space="preserve">Декларация № ЕАЭС № BY/112 11.01. ТР017 122.01 08246, до 19.04.2028</t>
        </is>
      </c>
      <c r="N38" t="inlineStr">
        <is>
          <t xml:space="preserve">37 × 28 × 1</t>
        </is>
      </c>
      <c r="O38" t="inlineStr">
        <is>
          <t xml:space="preserve">0,25</t>
        </is>
      </c>
      <c r="P38" t="inlineStr">
        <is>
          <t xml:space="preserve">4816148157935</t>
        </is>
      </c>
      <c r="Q38" s="3" t="str">
        <f>HYPERLINK("https://modify.by/img/348650086/1.webp","фото")</f>
        <v>фото</v>
      </c>
      <c r="R38" s="3" t="str">
        <f>HYPERLINK("https://modify.by/catalog/bluzki/348650086/?utm_source=price&amp;utm_medium=xlsx","открыть")</f>
        <v>открыть</v>
      </c>
    </row>
    <row r="39">
      <c r="A39" t="inlineStr">
        <is>
          <t xml:space="preserve">Женский</t>
        </is>
      </c>
      <c r="B39" t="inlineStr">
        <is>
          <t xml:space="preserve">Блузки</t>
        </is>
      </c>
      <c r="C39" t="inlineStr">
        <is>
          <t xml:space="preserve">Блузка рубашка летняя хлопковая с принтом, песочный</t>
        </is>
      </c>
      <c r="D39" t="inlineStr">
        <is>
          <t xml:space="preserve">SH52W02Темно-синий, песочный</t>
        </is>
      </c>
      <c r="E39" t="inlineStr">
        <is>
          <t xml:space="preserve">темно-синий, песочный</t>
        </is>
      </c>
      <c r="F39" t="inlineStr">
        <is>
          <t xml:space="preserve">50</t>
        </is>
      </c>
      <c r="G39">
        <v>58</v>
      </c>
      <c r="H39" s="2">
        <v>28.0</v>
      </c>
      <c r="I39" t="inlineStr">
        <is>
          <t xml:space="preserve">98% хлопок 2% спандекс</t>
        </is>
      </c>
      <c r="J39" t="inlineStr">
        <is>
          <t xml:space="preserve">лето</t>
        </is>
      </c>
      <c r="K39" t="inlineStr">
        <is>
          <t xml:space="preserve">Бангладеш</t>
        </is>
      </c>
      <c r="L39" t="inlineStr">
        <is>
          <t xml:space="preserve">6206909000</t>
        </is>
      </c>
      <c r="M39" t="inlineStr">
        <is>
          <t xml:space="preserve">Декларация № ЕАЭС № BY/112 11.01. ТР017 122.01 08246, до 19.04.2028</t>
        </is>
      </c>
      <c r="N39" t="inlineStr">
        <is>
          <t xml:space="preserve">37 × 28 × 1</t>
        </is>
      </c>
      <c r="O39" t="inlineStr">
        <is>
          <t xml:space="preserve">0,25</t>
        </is>
      </c>
      <c r="P39" t="inlineStr">
        <is>
          <t xml:space="preserve">4816148157942</t>
        </is>
      </c>
      <c r="Q39" s="3" t="str">
        <f>HYPERLINK("https://modify.by/img/348650086/1.webp","фото")</f>
        <v>фото</v>
      </c>
      <c r="R39" s="3" t="str">
        <f>HYPERLINK("https://modify.by/catalog/bluzki/348650086/?utm_source=price&amp;utm_medium=xlsx","открыть")</f>
        <v>открыть</v>
      </c>
    </row>
    <row r="40">
      <c r="A40" t="inlineStr">
        <is>
          <t xml:space="preserve">Женский</t>
        </is>
      </c>
      <c r="B40" t="inlineStr">
        <is>
          <t xml:space="preserve">Блузки</t>
        </is>
      </c>
      <c r="C40" t="inlineStr">
        <is>
          <t xml:space="preserve">Блузка рубашка летняя хлопковая с принтом, песочный</t>
        </is>
      </c>
      <c r="D40" t="inlineStr">
        <is>
          <t xml:space="preserve">SH52W02Темно-синий, песочный</t>
        </is>
      </c>
      <c r="E40" t="inlineStr">
        <is>
          <t xml:space="preserve">темно-синий, песочный</t>
        </is>
      </c>
      <c r="F40" t="inlineStr">
        <is>
          <t xml:space="preserve">52</t>
        </is>
      </c>
      <c r="G40">
        <v>31</v>
      </c>
      <c r="H40" s="2">
        <v>28.0</v>
      </c>
      <c r="I40" t="inlineStr">
        <is>
          <t xml:space="preserve">98% хлопок 2% спандекс</t>
        </is>
      </c>
      <c r="J40" t="inlineStr">
        <is>
          <t xml:space="preserve">лето</t>
        </is>
      </c>
      <c r="K40" t="inlineStr">
        <is>
          <t xml:space="preserve">Бангладеш</t>
        </is>
      </c>
      <c r="L40" t="inlineStr">
        <is>
          <t xml:space="preserve">6206909000</t>
        </is>
      </c>
      <c r="M40" t="inlineStr">
        <is>
          <t xml:space="preserve">Декларация № ЕАЭС № BY/112 11.01. ТР017 122.01 08246, до 19.04.2028</t>
        </is>
      </c>
      <c r="N40" t="inlineStr">
        <is>
          <t xml:space="preserve">37 × 28 × 1</t>
        </is>
      </c>
      <c r="O40" t="inlineStr">
        <is>
          <t xml:space="preserve">0,25</t>
        </is>
      </c>
      <c r="P40" t="inlineStr">
        <is>
          <t xml:space="preserve">4816148157959</t>
        </is>
      </c>
      <c r="Q40" s="3" t="str">
        <f>HYPERLINK("https://modify.by/img/348650086/1.webp","фото")</f>
        <v>фото</v>
      </c>
      <c r="R40" s="3" t="str">
        <f>HYPERLINK("https://modify.by/catalog/bluzki/348650086/?utm_source=price&amp;utm_medium=xlsx","открыть")</f>
        <v>открыть</v>
      </c>
    </row>
    <row r="41">
      <c r="A41" t="inlineStr">
        <is>
          <t xml:space="preserve">Женский</t>
        </is>
      </c>
      <c r="B41" t="inlineStr">
        <is>
          <t xml:space="preserve">Блузки</t>
        </is>
      </c>
      <c r="C41" t="inlineStr">
        <is>
          <t xml:space="preserve">Блузка рубашка летняя хлопковая с принтом, розовый</t>
        </is>
      </c>
      <c r="D41" t="inlineStr">
        <is>
          <t xml:space="preserve">SH52W02Черный, розовый</t>
        </is>
      </c>
      <c r="E41" t="inlineStr">
        <is>
          <t xml:space="preserve">черный, розовый, терракотовый</t>
        </is>
      </c>
      <c r="F41" t="inlineStr">
        <is>
          <t xml:space="preserve">44</t>
        </is>
      </c>
      <c r="G41">
        <v>7</v>
      </c>
      <c r="H41" s="2">
        <v>28.0</v>
      </c>
      <c r="I41" t="inlineStr">
        <is>
          <t xml:space="preserve">98% хлопок 2% спандекс</t>
        </is>
      </c>
      <c r="J41" t="inlineStr">
        <is>
          <t xml:space="preserve">лето</t>
        </is>
      </c>
      <c r="K41" t="inlineStr">
        <is>
          <t xml:space="preserve">Бангладеш</t>
        </is>
      </c>
      <c r="L41" t="inlineStr">
        <is>
          <t xml:space="preserve">6206909000</t>
        </is>
      </c>
      <c r="M41" t="inlineStr">
        <is>
          <t xml:space="preserve">Декларация № ЕАЭС № BY/112 11.01. ТР017 122.01 08246, до 19.04.2028</t>
        </is>
      </c>
      <c r="N41" t="inlineStr">
        <is>
          <t xml:space="preserve">37 × 28 × 1</t>
        </is>
      </c>
      <c r="O41" t="inlineStr">
        <is>
          <t xml:space="preserve">0,25</t>
        </is>
      </c>
      <c r="P41" t="inlineStr">
        <is>
          <t xml:space="preserve">4816148157973</t>
        </is>
      </c>
      <c r="Q41" s="3" t="str">
        <f>HYPERLINK("https://modify.by/img/348650092/1.webp","фото")</f>
        <v>фото</v>
      </c>
      <c r="R41" s="3" t="str">
        <f>HYPERLINK("https://modify.by/catalog/bluzki/348650092/?utm_source=price&amp;utm_medium=xlsx","открыть")</f>
        <v>открыть</v>
      </c>
    </row>
    <row r="42">
      <c r="A42" t="inlineStr">
        <is>
          <t xml:space="preserve">Женский</t>
        </is>
      </c>
      <c r="B42" t="inlineStr">
        <is>
          <t xml:space="preserve">Блузки</t>
        </is>
      </c>
      <c r="C42" t="inlineStr">
        <is>
          <t xml:space="preserve">Блузка рубашка летняя хлопковая с принтом, розовый</t>
        </is>
      </c>
      <c r="D42" t="inlineStr">
        <is>
          <t xml:space="preserve">SH52W02Черный, розовый</t>
        </is>
      </c>
      <c r="E42" t="inlineStr">
        <is>
          <t xml:space="preserve">черный, розовый, терракотовый</t>
        </is>
      </c>
      <c r="F42" t="inlineStr">
        <is>
          <t xml:space="preserve">46</t>
        </is>
      </c>
      <c r="G42">
        <v>18</v>
      </c>
      <c r="H42" s="2">
        <v>28.0</v>
      </c>
      <c r="I42" t="inlineStr">
        <is>
          <t xml:space="preserve">98% хлопок 2% спандекс</t>
        </is>
      </c>
      <c r="J42" t="inlineStr">
        <is>
          <t xml:space="preserve">лето</t>
        </is>
      </c>
      <c r="K42" t="inlineStr">
        <is>
          <t xml:space="preserve">Бангладеш</t>
        </is>
      </c>
      <c r="L42" t="inlineStr">
        <is>
          <t xml:space="preserve">6206909000</t>
        </is>
      </c>
      <c r="M42" t="inlineStr">
        <is>
          <t xml:space="preserve">Декларация № ЕАЭС № BY/112 11.01. ТР017 122.01 08246, до 19.04.2028</t>
        </is>
      </c>
      <c r="N42" t="inlineStr">
        <is>
          <t xml:space="preserve">37 × 28 × 1</t>
        </is>
      </c>
      <c r="O42" t="inlineStr">
        <is>
          <t xml:space="preserve">0,25</t>
        </is>
      </c>
      <c r="P42" t="inlineStr">
        <is>
          <t xml:space="preserve">4816148157980</t>
        </is>
      </c>
      <c r="Q42" s="3" t="str">
        <f>HYPERLINK("https://modify.by/img/348650092/1.webp","фото")</f>
        <v>фото</v>
      </c>
      <c r="R42" s="3" t="str">
        <f>HYPERLINK("https://modify.by/catalog/bluzki/348650092/?utm_source=price&amp;utm_medium=xlsx","открыть")</f>
        <v>открыть</v>
      </c>
    </row>
    <row r="43">
      <c r="A43" t="inlineStr">
        <is>
          <t xml:space="preserve">Женский</t>
        </is>
      </c>
      <c r="B43" t="inlineStr">
        <is>
          <t xml:space="preserve">Блузки</t>
        </is>
      </c>
      <c r="C43" t="inlineStr">
        <is>
          <t xml:space="preserve">Блузка рубашка летняя хлопковая с принтом, розовый</t>
        </is>
      </c>
      <c r="D43" t="inlineStr">
        <is>
          <t xml:space="preserve">SH52W02Черный, розовый</t>
        </is>
      </c>
      <c r="E43" t="inlineStr">
        <is>
          <t xml:space="preserve">черный, розовый, терракотовый</t>
        </is>
      </c>
      <c r="F43" t="inlineStr">
        <is>
          <t xml:space="preserve">48</t>
        </is>
      </c>
      <c r="G43">
        <v>29</v>
      </c>
      <c r="H43" s="2">
        <v>28.0</v>
      </c>
      <c r="I43" t="inlineStr">
        <is>
          <t xml:space="preserve">98% хлопок 2% спандекс</t>
        </is>
      </c>
      <c r="J43" t="inlineStr">
        <is>
          <t xml:space="preserve">лето</t>
        </is>
      </c>
      <c r="K43" t="inlineStr">
        <is>
          <t xml:space="preserve">Бангладеш</t>
        </is>
      </c>
      <c r="L43" t="inlineStr">
        <is>
          <t xml:space="preserve">6206909000</t>
        </is>
      </c>
      <c r="M43" t="inlineStr">
        <is>
          <t xml:space="preserve">Декларация № ЕАЭС № BY/112 11.01. ТР017 122.01 08246, до 19.04.2028</t>
        </is>
      </c>
      <c r="N43" t="inlineStr">
        <is>
          <t xml:space="preserve">37 × 28 × 1</t>
        </is>
      </c>
      <c r="O43" t="inlineStr">
        <is>
          <t xml:space="preserve">0,25</t>
        </is>
      </c>
      <c r="P43" t="inlineStr">
        <is>
          <t xml:space="preserve">4816148157997</t>
        </is>
      </c>
      <c r="Q43" s="3" t="str">
        <f>HYPERLINK("https://modify.by/img/348650092/1.webp","фото")</f>
        <v>фото</v>
      </c>
      <c r="R43" s="3" t="str">
        <f>HYPERLINK("https://modify.by/catalog/bluzki/348650092/?utm_source=price&amp;utm_medium=xlsx","открыть")</f>
        <v>открыть</v>
      </c>
    </row>
    <row r="44">
      <c r="A44" t="inlineStr">
        <is>
          <t xml:space="preserve">Женский</t>
        </is>
      </c>
      <c r="B44" t="inlineStr">
        <is>
          <t xml:space="preserve">Блузки</t>
        </is>
      </c>
      <c r="C44" t="inlineStr">
        <is>
          <t xml:space="preserve">Блузка рубашка летняя хлопковая с принтом, розовый</t>
        </is>
      </c>
      <c r="D44" t="inlineStr">
        <is>
          <t xml:space="preserve">SH52W02Черный, розовый</t>
        </is>
      </c>
      <c r="E44" t="inlineStr">
        <is>
          <t xml:space="preserve">черный, розовый, терракотовый</t>
        </is>
      </c>
      <c r="F44" t="inlineStr">
        <is>
          <t xml:space="preserve">50</t>
        </is>
      </c>
      <c r="G44">
        <v>19</v>
      </c>
      <c r="H44" s="2">
        <v>28.0</v>
      </c>
      <c r="I44" t="inlineStr">
        <is>
          <t xml:space="preserve">98% хлопок 2% спандекс</t>
        </is>
      </c>
      <c r="J44" t="inlineStr">
        <is>
          <t xml:space="preserve">лето</t>
        </is>
      </c>
      <c r="K44" t="inlineStr">
        <is>
          <t xml:space="preserve">Бангладеш</t>
        </is>
      </c>
      <c r="L44" t="inlineStr">
        <is>
          <t xml:space="preserve">6206909000</t>
        </is>
      </c>
      <c r="M44" t="inlineStr">
        <is>
          <t xml:space="preserve">Декларация № ЕАЭС № BY/112 11.01. ТР017 122.01 08246, до 19.04.2028</t>
        </is>
      </c>
      <c r="N44" t="inlineStr">
        <is>
          <t xml:space="preserve">37 × 28 × 1</t>
        </is>
      </c>
      <c r="O44" t="inlineStr">
        <is>
          <t xml:space="preserve">0,25</t>
        </is>
      </c>
      <c r="P44" t="inlineStr">
        <is>
          <t xml:space="preserve">4816148158000</t>
        </is>
      </c>
      <c r="Q44" s="3" t="str">
        <f>HYPERLINK("https://modify.by/img/348650092/1.webp","фото")</f>
        <v>фото</v>
      </c>
      <c r="R44" s="3" t="str">
        <f>HYPERLINK("https://modify.by/catalog/bluzki/348650092/?utm_source=price&amp;utm_medium=xlsx","открыть")</f>
        <v>открыть</v>
      </c>
    </row>
    <row r="45">
      <c r="A45" t="inlineStr">
        <is>
          <t xml:space="preserve">Женский</t>
        </is>
      </c>
      <c r="B45" t="inlineStr">
        <is>
          <t xml:space="preserve">Блузки</t>
        </is>
      </c>
      <c r="C45" t="inlineStr">
        <is>
          <t xml:space="preserve">Блузка рубашка летняя хлопковая с принтом, розовый</t>
        </is>
      </c>
      <c r="D45" t="inlineStr">
        <is>
          <t xml:space="preserve">SH52W02Черный, розовый</t>
        </is>
      </c>
      <c r="E45" t="inlineStr">
        <is>
          <t xml:space="preserve">черный, розовый, терракотовый</t>
        </is>
      </c>
      <c r="F45" t="inlineStr">
        <is>
          <t xml:space="preserve">52</t>
        </is>
      </c>
      <c r="G45">
        <v>3</v>
      </c>
      <c r="H45" s="2">
        <v>28.0</v>
      </c>
      <c r="I45" t="inlineStr">
        <is>
          <t xml:space="preserve">98% хлопок 2% спандекс</t>
        </is>
      </c>
      <c r="J45" t="inlineStr">
        <is>
          <t xml:space="preserve">лето</t>
        </is>
      </c>
      <c r="K45" t="inlineStr">
        <is>
          <t xml:space="preserve">Бангладеш</t>
        </is>
      </c>
      <c r="L45" t="inlineStr">
        <is>
          <t xml:space="preserve">6206909000</t>
        </is>
      </c>
      <c r="M45" t="inlineStr">
        <is>
          <t xml:space="preserve">Декларация № ЕАЭС № BY/112 11.01. ТР017 122.01 08246, до 19.04.2028</t>
        </is>
      </c>
      <c r="N45" t="inlineStr">
        <is>
          <t xml:space="preserve">37 × 28 × 1</t>
        </is>
      </c>
      <c r="O45" t="inlineStr">
        <is>
          <t xml:space="preserve">0,25</t>
        </is>
      </c>
      <c r="P45" t="inlineStr">
        <is>
          <t xml:space="preserve">4816148158017</t>
        </is>
      </c>
      <c r="Q45" s="3" t="str">
        <f>HYPERLINK("https://modify.by/img/348650092/1.webp","фото")</f>
        <v>фото</v>
      </c>
      <c r="R45" s="3" t="str">
        <f>HYPERLINK("https://modify.by/catalog/bluzki/348650092/?utm_source=price&amp;utm_medium=xlsx","открыть")</f>
        <v>открыть</v>
      </c>
    </row>
    <row r="46">
      <c r="A46" t="inlineStr">
        <is>
          <t xml:space="preserve">Женский</t>
        </is>
      </c>
      <c r="B46" t="inlineStr">
        <is>
          <t xml:space="preserve">Блузки</t>
        </is>
      </c>
      <c r="C46" t="inlineStr">
        <is>
          <t xml:space="preserve">Блузка рубашка летняя хлопковая с ярким принтом</t>
        </is>
      </c>
      <c r="D46" t="inlineStr">
        <is>
          <t xml:space="preserve">SH52W02Черный, бордовый</t>
        </is>
      </c>
      <c r="E46" t="inlineStr">
        <is>
          <t xml:space="preserve">черный, бордовый</t>
        </is>
      </c>
      <c r="F46" t="inlineStr">
        <is>
          <t xml:space="preserve">44</t>
        </is>
      </c>
      <c r="G46">
        <v>14</v>
      </c>
      <c r="H46" s="2">
        <v>28.0</v>
      </c>
      <c r="I46" t="inlineStr">
        <is>
          <t xml:space="preserve">97% хлопок, 3% спандекс</t>
        </is>
      </c>
      <c r="J46" t="inlineStr">
        <is>
          <t xml:space="preserve">лето</t>
        </is>
      </c>
      <c r="K46" t="inlineStr">
        <is>
          <t xml:space="preserve">Бангладеш</t>
        </is>
      </c>
      <c r="L46" t="inlineStr">
        <is>
          <t xml:space="preserve">6206909000</t>
        </is>
      </c>
      <c r="M46" t="inlineStr">
        <is>
          <t xml:space="preserve">Декларация № ЕАЭС № BY/112 11.01. ТР017 122.01 08246, до 19.04.2028</t>
        </is>
      </c>
      <c r="N46" t="inlineStr">
        <is>
          <t xml:space="preserve">37 × 28 × 1</t>
        </is>
      </c>
      <c r="O46" t="inlineStr">
        <is>
          <t xml:space="preserve">0,25</t>
        </is>
      </c>
      <c r="P46" t="inlineStr">
        <is>
          <t xml:space="preserve">4816148158192</t>
        </is>
      </c>
      <c r="Q46" s="3" t="str">
        <f>HYPERLINK("https://modify.by/img/348650098/1.webp","фото")</f>
        <v>фото</v>
      </c>
      <c r="R46" s="3" t="str">
        <f>HYPERLINK("https://modify.by/catalog/bluzki/348650098/?utm_source=price&amp;utm_medium=xlsx","открыть")</f>
        <v>открыть</v>
      </c>
    </row>
    <row r="47">
      <c r="A47" t="inlineStr">
        <is>
          <t xml:space="preserve">Женский</t>
        </is>
      </c>
      <c r="B47" t="inlineStr">
        <is>
          <t xml:space="preserve">Блузки</t>
        </is>
      </c>
      <c r="C47" t="inlineStr">
        <is>
          <t xml:space="preserve">Блузка рубашка летняя хлопковая с ярким принтом</t>
        </is>
      </c>
      <c r="D47" t="inlineStr">
        <is>
          <t xml:space="preserve">SH52W02Черный, бордовый</t>
        </is>
      </c>
      <c r="E47" t="inlineStr">
        <is>
          <t xml:space="preserve">черный, бордовый</t>
        </is>
      </c>
      <c r="F47" t="inlineStr">
        <is>
          <t xml:space="preserve">46</t>
        </is>
      </c>
      <c r="G47">
        <v>6</v>
      </c>
      <c r="H47" s="2">
        <v>28.0</v>
      </c>
      <c r="I47" t="inlineStr">
        <is>
          <t xml:space="preserve">97% хлопок, 3% спандекс</t>
        </is>
      </c>
      <c r="J47" t="inlineStr">
        <is>
          <t xml:space="preserve">лето</t>
        </is>
      </c>
      <c r="K47" t="inlineStr">
        <is>
          <t xml:space="preserve">Бангладеш</t>
        </is>
      </c>
      <c r="L47" t="inlineStr">
        <is>
          <t xml:space="preserve">6206909000</t>
        </is>
      </c>
      <c r="M47" t="inlineStr">
        <is>
          <t xml:space="preserve">Декларация № ЕАЭС № BY/112 11.01. ТР017 122.01 08246, до 19.04.2028</t>
        </is>
      </c>
      <c r="N47" t="inlineStr">
        <is>
          <t xml:space="preserve">37 × 28 × 1</t>
        </is>
      </c>
      <c r="O47" t="inlineStr">
        <is>
          <t xml:space="preserve">0,25</t>
        </is>
      </c>
      <c r="P47" t="inlineStr">
        <is>
          <t xml:space="preserve">4816148158208</t>
        </is>
      </c>
      <c r="Q47" s="3" t="str">
        <f>HYPERLINK("https://modify.by/img/348650098/1.webp","фото")</f>
        <v>фото</v>
      </c>
      <c r="R47" s="3" t="str">
        <f>HYPERLINK("https://modify.by/catalog/bluzki/348650098/?utm_source=price&amp;utm_medium=xlsx","открыть")</f>
        <v>открыть</v>
      </c>
    </row>
    <row r="48">
      <c r="A48" t="inlineStr">
        <is>
          <t xml:space="preserve">Женский</t>
        </is>
      </c>
      <c r="B48" t="inlineStr">
        <is>
          <t xml:space="preserve">Блузки</t>
        </is>
      </c>
      <c r="C48" t="inlineStr">
        <is>
          <t xml:space="preserve">Блузка рубашка летняя хлопковая с ярким принтом</t>
        </is>
      </c>
      <c r="D48" t="inlineStr">
        <is>
          <t xml:space="preserve">SH52W02Черный, бордовый</t>
        </is>
      </c>
      <c r="E48" t="inlineStr">
        <is>
          <t xml:space="preserve">черный, бордовый</t>
        </is>
      </c>
      <c r="F48" t="inlineStr">
        <is>
          <t xml:space="preserve">48</t>
        </is>
      </c>
      <c r="G48">
        <v>11</v>
      </c>
      <c r="H48" s="2">
        <v>28.0</v>
      </c>
      <c r="I48" t="inlineStr">
        <is>
          <t xml:space="preserve">97% хлопок, 3% спандекс</t>
        </is>
      </c>
      <c r="J48" t="inlineStr">
        <is>
          <t xml:space="preserve">лето</t>
        </is>
      </c>
      <c r="K48" t="inlineStr">
        <is>
          <t xml:space="preserve">Бангладеш</t>
        </is>
      </c>
      <c r="L48" t="inlineStr">
        <is>
          <t xml:space="preserve">6206909000</t>
        </is>
      </c>
      <c r="M48" t="inlineStr">
        <is>
          <t xml:space="preserve">Декларация № ЕАЭС № BY/112 11.01. ТР017 122.01 08246, до 19.04.2028</t>
        </is>
      </c>
      <c r="N48" t="inlineStr">
        <is>
          <t xml:space="preserve">37 × 28 × 1</t>
        </is>
      </c>
      <c r="O48" t="inlineStr">
        <is>
          <t xml:space="preserve">0,25</t>
        </is>
      </c>
      <c r="P48" t="inlineStr">
        <is>
          <t xml:space="preserve">4816148158215</t>
        </is>
      </c>
      <c r="Q48" s="3" t="str">
        <f>HYPERLINK("https://modify.by/img/348650098/1.webp","фото")</f>
        <v>фото</v>
      </c>
      <c r="R48" s="3" t="str">
        <f>HYPERLINK("https://modify.by/catalog/bluzki/348650098/?utm_source=price&amp;utm_medium=xlsx","открыть")</f>
        <v>открыть</v>
      </c>
    </row>
    <row r="49">
      <c r="A49" t="inlineStr">
        <is>
          <t xml:space="preserve">Женский</t>
        </is>
      </c>
      <c r="B49" t="inlineStr">
        <is>
          <t xml:space="preserve">Блузки</t>
        </is>
      </c>
      <c r="C49" t="inlineStr">
        <is>
          <t xml:space="preserve">Блузка рубашка летняя хлопковая с ярким принтом</t>
        </is>
      </c>
      <c r="D49" t="inlineStr">
        <is>
          <t xml:space="preserve">SH52W02Черный, бордовый</t>
        </is>
      </c>
      <c r="E49" t="inlineStr">
        <is>
          <t xml:space="preserve">черный, бордовый</t>
        </is>
      </c>
      <c r="F49" t="inlineStr">
        <is>
          <t xml:space="preserve">52</t>
        </is>
      </c>
      <c r="G49">
        <v>2</v>
      </c>
      <c r="H49" s="2">
        <v>28.0</v>
      </c>
      <c r="I49" t="inlineStr">
        <is>
          <t xml:space="preserve">97% хлопок, 3% спандекс</t>
        </is>
      </c>
      <c r="J49" t="inlineStr">
        <is>
          <t xml:space="preserve">лето</t>
        </is>
      </c>
      <c r="K49" t="inlineStr">
        <is>
          <t xml:space="preserve">Бангладеш</t>
        </is>
      </c>
      <c r="L49" t="inlineStr">
        <is>
          <t xml:space="preserve">6206909000</t>
        </is>
      </c>
      <c r="M49" t="inlineStr">
        <is>
          <t xml:space="preserve">Декларация № ЕАЭС № BY/112 11.01. ТР017 122.01 08246, до 19.04.2028</t>
        </is>
      </c>
      <c r="N49" t="inlineStr">
        <is>
          <t xml:space="preserve">37 × 28 × 1</t>
        </is>
      </c>
      <c r="O49" t="inlineStr">
        <is>
          <t xml:space="preserve">0,25</t>
        </is>
      </c>
      <c r="P49" t="inlineStr">
        <is>
          <t xml:space="preserve">4816148158239</t>
        </is>
      </c>
      <c r="Q49" s="3" t="str">
        <f>HYPERLINK("https://modify.by/img/348650098/1.webp","фото")</f>
        <v>фото</v>
      </c>
      <c r="R49" s="3" t="str">
        <f>HYPERLINK("https://modify.by/catalog/bluzki/348650098/?utm_source=price&amp;utm_medium=xlsx","открыть")</f>
        <v>открыть</v>
      </c>
    </row>
    <row r="50">
      <c r="A50" t="inlineStr">
        <is>
          <t xml:space="preserve">Женский</t>
        </is>
      </c>
      <c r="B50" t="inlineStr">
        <is>
          <t xml:space="preserve">Блузки</t>
        </is>
      </c>
      <c r="C50" t="inlineStr">
        <is>
          <t xml:space="preserve">Блузка рубашка летняя хлопковая с ярким принтом оверсайз</t>
        </is>
      </c>
      <c r="D50" t="inlineStr">
        <is>
          <t xml:space="preserve">SH52W02Черный, зеленый</t>
        </is>
      </c>
      <c r="E50" t="inlineStr">
        <is>
          <t xml:space="preserve">черный, зеленый</t>
        </is>
      </c>
      <c r="F50" t="inlineStr">
        <is>
          <t xml:space="preserve">48</t>
        </is>
      </c>
      <c r="G50">
        <v>5</v>
      </c>
      <c r="H50" s="2">
        <v>28.0</v>
      </c>
      <c r="I50" t="inlineStr">
        <is>
          <t xml:space="preserve">98% хлопок 2% спандекс</t>
        </is>
      </c>
      <c r="J50" t="inlineStr">
        <is>
          <t xml:space="preserve">лето</t>
        </is>
      </c>
      <c r="K50" t="inlineStr">
        <is>
          <t xml:space="preserve">Бангладеш</t>
        </is>
      </c>
      <c r="L50" t="inlineStr">
        <is>
          <t xml:space="preserve">6206909000</t>
        </is>
      </c>
      <c r="M50" t="inlineStr">
        <is>
          <t xml:space="preserve">Декларация № ЕАЭС № BY/112 11.01. ТР017 122.01 08246, до 19.04.2028</t>
        </is>
      </c>
      <c r="N50" t="inlineStr">
        <is>
          <t xml:space="preserve">37 × 28 × 1</t>
        </is>
      </c>
      <c r="O50" t="inlineStr">
        <is>
          <t xml:space="preserve">0,25</t>
        </is>
      </c>
      <c r="P50" t="inlineStr">
        <is>
          <t xml:space="preserve">4816148158260</t>
        </is>
      </c>
      <c r="Q50" s="3" t="str">
        <f>HYPERLINK("https://modify.by/img/348650099/1.webp","фото")</f>
        <v>фото</v>
      </c>
      <c r="R50" s="3" t="str">
        <f>HYPERLINK("https://modify.by/catalog/bluzki/348650099/?utm_source=price&amp;utm_medium=xlsx","открыть")</f>
        <v>открыть</v>
      </c>
    </row>
    <row r="51">
      <c r="A51" t="inlineStr">
        <is>
          <t xml:space="preserve">Женский</t>
        </is>
      </c>
      <c r="B51" t="inlineStr">
        <is>
          <t xml:space="preserve">Брюки</t>
        </is>
      </c>
      <c r="C51" t="inlineStr">
        <is>
          <t xml:space="preserve">Бриджи джинсовые белые стрейч летние</t>
        </is>
      </c>
      <c r="D51" t="inlineStr">
        <is>
          <t xml:space="preserve">T2BE42W01_by_белый</t>
        </is>
      </c>
      <c r="E51" t="inlineStr">
        <is>
          <t xml:space="preserve">белый</t>
        </is>
      </c>
      <c r="F51" t="inlineStr">
        <is>
          <t xml:space="preserve">54-56</t>
        </is>
      </c>
      <c r="G51">
        <v>1</v>
      </c>
      <c r="H51" s="2">
        <v>46.0</v>
      </c>
      <c r="I51" t="inlineStr">
        <is>
          <t xml:space="preserve">55% хлопок, 40% ПЭ, 5% спандекс</t>
        </is>
      </c>
      <c r="J51" t="inlineStr">
        <is>
          <t xml:space="preserve">лето</t>
        </is>
      </c>
      <c r="K51" t="inlineStr">
        <is>
          <t xml:space="preserve">Китай</t>
        </is>
      </c>
      <c r="L51" t="inlineStr">
        <is>
          <t xml:space="preserve">6204623100</t>
        </is>
      </c>
      <c r="M51" t="inlineStr">
        <is>
          <t xml:space="preserve">Декларация № ЕАЭС № BY/112 11.01. ТР017 122.01 08246, до 19.04.2028</t>
        </is>
      </c>
      <c r="N51" t="inlineStr">
        <is>
          <t xml:space="preserve">34 × 29 × 3</t>
        </is>
      </c>
      <c r="O51" t="inlineStr">
        <is>
          <t xml:space="preserve">0,55</t>
        </is>
      </c>
      <c r="P51" t="inlineStr">
        <is>
          <t xml:space="preserve">4816148180520</t>
        </is>
      </c>
      <c r="Q51" s="3" t="str">
        <f>HYPERLINK("https://modify.by/img/879953490/1.webp","фото")</f>
        <v>фото</v>
      </c>
      <c r="R51" s="3" t="str">
        <f>HYPERLINK("https://modify.by/catalog/bryuki/879953490/?utm_source=price&amp;utm_medium=xlsx","открыть")</f>
        <v>открыть</v>
      </c>
    </row>
    <row r="52">
      <c r="A52" t="inlineStr">
        <is>
          <t xml:space="preserve">Женский</t>
        </is>
      </c>
      <c r="B52" t="inlineStr">
        <is>
          <t xml:space="preserve">Брюки</t>
        </is>
      </c>
      <c r="C52" t="inlineStr">
        <is>
          <t xml:space="preserve">Бриджи джинсовые белые стрейч летние</t>
        </is>
      </c>
      <c r="D52" t="inlineStr">
        <is>
          <t xml:space="preserve">T2BE42W01_by_белый</t>
        </is>
      </c>
      <c r="E52" t="inlineStr">
        <is>
          <t xml:space="preserve">белый</t>
        </is>
      </c>
      <c r="F52" t="inlineStr">
        <is>
          <t xml:space="preserve">58-60</t>
        </is>
      </c>
      <c r="G52">
        <v>2</v>
      </c>
      <c r="H52" s="2">
        <v>46.0</v>
      </c>
      <c r="I52" t="inlineStr">
        <is>
          <t xml:space="preserve">55% хлопок, 40% ПЭ, 5% спандекс</t>
        </is>
      </c>
      <c r="J52" t="inlineStr">
        <is>
          <t xml:space="preserve">лето</t>
        </is>
      </c>
      <c r="K52" t="inlineStr">
        <is>
          <t xml:space="preserve">Китай</t>
        </is>
      </c>
      <c r="L52" t="inlineStr">
        <is>
          <t xml:space="preserve">6204623100</t>
        </is>
      </c>
      <c r="M52" t="inlineStr">
        <is>
          <t xml:space="preserve">Декларация № ЕАЭС № BY/112 11.01. ТР017 122.01 08246, до 19.04.2028</t>
        </is>
      </c>
      <c r="N52" t="inlineStr">
        <is>
          <t xml:space="preserve">34 × 29 × 3</t>
        </is>
      </c>
      <c r="O52" t="inlineStr">
        <is>
          <t xml:space="preserve">0,55</t>
        </is>
      </c>
      <c r="P52" t="inlineStr">
        <is>
          <t xml:space="preserve">4816148180537</t>
        </is>
      </c>
      <c r="Q52" s="3" t="str">
        <f>HYPERLINK("https://modify.by/img/879953490/1.webp","фото")</f>
        <v>фото</v>
      </c>
      <c r="R52" s="3" t="str">
        <f>HYPERLINK("https://modify.by/catalog/bryuki/879953490/?utm_source=price&amp;utm_medium=xlsx","открыть")</f>
        <v>открыть</v>
      </c>
    </row>
    <row r="53">
      <c r="A53" t="inlineStr">
        <is>
          <t xml:space="preserve">Женский</t>
        </is>
      </c>
      <c r="B53" t="inlineStr">
        <is>
          <t xml:space="preserve">Брюки</t>
        </is>
      </c>
      <c r="C53" t="inlineStr">
        <is>
          <t xml:space="preserve">Бриджи джинсовые стрейч летние</t>
        </is>
      </c>
      <c r="D53" t="inlineStr">
        <is>
          <t xml:space="preserve">T2BE42W01_by_синий</t>
        </is>
      </c>
      <c r="E53" t="inlineStr">
        <is>
          <t xml:space="preserve">синий</t>
        </is>
      </c>
      <c r="F53" t="inlineStr">
        <is>
          <t xml:space="preserve">46</t>
        </is>
      </c>
      <c r="G53">
        <v>3</v>
      </c>
      <c r="H53" s="2">
        <v>46.0</v>
      </c>
      <c r="I53" t="inlineStr">
        <is>
          <t xml:space="preserve">55% хлопок, 40% ПЭ, 5% спандекс</t>
        </is>
      </c>
      <c r="J53" t="inlineStr">
        <is>
          <t xml:space="preserve">лето</t>
        </is>
      </c>
      <c r="K53" t="inlineStr">
        <is>
          <t xml:space="preserve">Китай</t>
        </is>
      </c>
      <c r="L53" t="inlineStr">
        <is>
          <t xml:space="preserve">6204623100</t>
        </is>
      </c>
      <c r="M53" t="inlineStr">
        <is>
          <t xml:space="preserve">Декларация № ЕАЭС № BY/112 11.01. ТР017 122.01 08246, до 19.04.2028</t>
        </is>
      </c>
      <c r="N53" t="inlineStr">
        <is>
          <t xml:space="preserve">34 × 29 × 3</t>
        </is>
      </c>
      <c r="O53" t="inlineStr">
        <is>
          <t xml:space="preserve">0,55</t>
        </is>
      </c>
      <c r="P53" t="inlineStr">
        <is>
          <t xml:space="preserve">4816148180551</t>
        </is>
      </c>
      <c r="Q53" s="3" t="str">
        <f>HYPERLINK("https://modify.by/img/879953491/1.webp","фото")</f>
        <v>фото</v>
      </c>
      <c r="R53" s="3" t="str">
        <f>HYPERLINK("https://modify.by/catalog/bryuki/879953491/?utm_source=price&amp;utm_medium=xlsx","открыть")</f>
        <v>открыть</v>
      </c>
    </row>
    <row r="54">
      <c r="A54" t="inlineStr">
        <is>
          <t xml:space="preserve">Женский</t>
        </is>
      </c>
      <c r="B54" t="inlineStr">
        <is>
          <t xml:space="preserve">Брюки</t>
        </is>
      </c>
      <c r="C54" t="inlineStr">
        <is>
          <t xml:space="preserve">Бриджи джинсовые стрейч летние</t>
        </is>
      </c>
      <c r="D54" t="inlineStr">
        <is>
          <t xml:space="preserve">T2BE42W01_by_синий</t>
        </is>
      </c>
      <c r="E54" t="inlineStr">
        <is>
          <t xml:space="preserve">синий</t>
        </is>
      </c>
      <c r="F54" t="inlineStr">
        <is>
          <t xml:space="preserve">60-62</t>
        </is>
      </c>
      <c r="G54">
        <v>12</v>
      </c>
      <c r="H54" s="2">
        <v>46.0</v>
      </c>
      <c r="I54" t="inlineStr">
        <is>
          <t xml:space="preserve">55% хлопок, 40% ПЭ, 5% спандекс</t>
        </is>
      </c>
      <c r="J54" t="inlineStr">
        <is>
          <t xml:space="preserve">лето</t>
        </is>
      </c>
      <c r="K54" t="inlineStr">
        <is>
          <t xml:space="preserve">Китай</t>
        </is>
      </c>
      <c r="L54" t="inlineStr">
        <is>
          <t xml:space="preserve">6204623100</t>
        </is>
      </c>
      <c r="M54" t="inlineStr">
        <is>
          <t xml:space="preserve">Декларация № ЕАЭС № BY/112 11.01. ТР017 122.01 08246, до 19.04.2028</t>
        </is>
      </c>
      <c r="N54" t="inlineStr">
        <is>
          <t xml:space="preserve">34 × 29 × 3</t>
        </is>
      </c>
      <c r="O54" t="inlineStr">
        <is>
          <t xml:space="preserve">0,55</t>
        </is>
      </c>
      <c r="P54" t="inlineStr">
        <is>
          <t xml:space="preserve">4816148180582</t>
        </is>
      </c>
      <c r="Q54" s="3" t="str">
        <f>HYPERLINK("https://modify.by/img/879953491/1.webp","фото")</f>
        <v>фото</v>
      </c>
      <c r="R54" s="3" t="str">
        <f>HYPERLINK("https://modify.by/catalog/bryuki/879953491/?utm_source=price&amp;utm_medium=xlsx","открыть")</f>
        <v>открыть</v>
      </c>
    </row>
    <row r="55">
      <c r="A55" t="inlineStr">
        <is>
          <t xml:space="preserve">Женский</t>
        </is>
      </c>
      <c r="B55" t="inlineStr">
        <is>
          <t xml:space="preserve">Брюки</t>
        </is>
      </c>
      <c r="C55" t="inlineStr">
        <is>
          <t xml:space="preserve">Бриджи стрейч летние</t>
        </is>
      </c>
      <c r="D55" t="inlineStr">
        <is>
          <t xml:space="preserve">T2BE42W01_by_темно-синий</t>
        </is>
      </c>
      <c r="E55" t="inlineStr">
        <is>
          <t xml:space="preserve">темно-синий, деним</t>
        </is>
      </c>
      <c r="F55" t="inlineStr">
        <is>
          <t xml:space="preserve">54-56</t>
        </is>
      </c>
      <c r="G55">
        <v>4</v>
      </c>
      <c r="H55" s="2">
        <v>46.0</v>
      </c>
      <c r="I55" t="inlineStr">
        <is>
          <t xml:space="preserve">55% хлопок, 40% ПЭ, 5% спандекс</t>
        </is>
      </c>
      <c r="J55" t="inlineStr">
        <is>
          <t xml:space="preserve">лето</t>
        </is>
      </c>
      <c r="K55" t="inlineStr">
        <is>
          <t xml:space="preserve">Китай</t>
        </is>
      </c>
      <c r="L55" t="inlineStr">
        <is>
          <t xml:space="preserve">6204623100</t>
        </is>
      </c>
      <c r="M55" t="inlineStr">
        <is>
          <t xml:space="preserve">Декларация № ЕАЭС № BY/112 11.01. ТР017 122.01 08246, до 19.04.2028</t>
        </is>
      </c>
      <c r="N55" t="inlineStr">
        <is>
          <t xml:space="preserve">34 × 29 × 3</t>
        </is>
      </c>
      <c r="O55" t="inlineStr">
        <is>
          <t xml:space="preserve">0,55</t>
        </is>
      </c>
      <c r="P55" t="inlineStr">
        <is>
          <t xml:space="preserve">4816148180445</t>
        </is>
      </c>
      <c r="Q55" s="3" t="str">
        <f>HYPERLINK("https://modify.by/img/879953492/1.webp","фото")</f>
        <v>фото</v>
      </c>
      <c r="R55" s="3" t="str">
        <f>HYPERLINK("https://modify.by/catalog/bryuki/879953492/?utm_source=price&amp;utm_medium=xlsx","открыть")</f>
        <v>открыть</v>
      </c>
    </row>
    <row r="56">
      <c r="A56" t="inlineStr">
        <is>
          <t xml:space="preserve">Женский</t>
        </is>
      </c>
      <c r="B56" t="inlineStr">
        <is>
          <t xml:space="preserve">Брюки</t>
        </is>
      </c>
      <c r="C56" t="inlineStr">
        <is>
          <t xml:space="preserve">Бриджи стрейч летние</t>
        </is>
      </c>
      <c r="D56" t="inlineStr">
        <is>
          <t xml:space="preserve">T2BE42W01_by_темно-синий</t>
        </is>
      </c>
      <c r="E56" t="inlineStr">
        <is>
          <t xml:space="preserve">темно-синий, деним</t>
        </is>
      </c>
      <c r="F56" t="inlineStr">
        <is>
          <t xml:space="preserve">60-62</t>
        </is>
      </c>
      <c r="G56">
        <v>14</v>
      </c>
      <c r="H56" s="2">
        <v>46.0</v>
      </c>
      <c r="I56" t="inlineStr">
        <is>
          <t xml:space="preserve">55% хлопок, 40% ПЭ, 5% спандекс</t>
        </is>
      </c>
      <c r="J56" t="inlineStr">
        <is>
          <t xml:space="preserve">лето</t>
        </is>
      </c>
      <c r="K56" t="inlineStr">
        <is>
          <t xml:space="preserve">Китай</t>
        </is>
      </c>
      <c r="L56" t="inlineStr">
        <is>
          <t xml:space="preserve">6204623100</t>
        </is>
      </c>
      <c r="M56" t="inlineStr">
        <is>
          <t xml:space="preserve">Декларация № ЕАЭС № BY/112 11.01. ТР017 122.01 08246, до 19.04.2028</t>
        </is>
      </c>
      <c r="N56" t="inlineStr">
        <is>
          <t xml:space="preserve">34 × 29 × 3</t>
        </is>
      </c>
      <c r="O56" t="inlineStr">
        <is>
          <t xml:space="preserve">0,55</t>
        </is>
      </c>
      <c r="P56" t="inlineStr">
        <is>
          <t xml:space="preserve">4816148180452</t>
        </is>
      </c>
      <c r="Q56" s="3" t="str">
        <f>HYPERLINK("https://modify.by/img/879953492/1.webp","фото")</f>
        <v>фото</v>
      </c>
      <c r="R56" s="3" t="str">
        <f>HYPERLINK("https://modify.by/catalog/bryuki/879953492/?utm_source=price&amp;utm_medium=xlsx","открыть")</f>
        <v>открыть</v>
      </c>
    </row>
    <row r="57">
      <c r="A57" t="inlineStr">
        <is>
          <t xml:space="preserve">Женский</t>
        </is>
      </c>
      <c r="B57" t="inlineStr">
        <is>
          <t xml:space="preserve">Брюки</t>
        </is>
      </c>
      <c r="C57" t="inlineStr">
        <is>
          <t xml:space="preserve">Брюки 7/8 с разрезами офисные</t>
        </is>
      </c>
      <c r="D57" t="inlineStr">
        <is>
          <t xml:space="preserve">PA32W013Темно-синий</t>
        </is>
      </c>
      <c r="E57" t="inlineStr">
        <is>
          <t xml:space="preserve">темно-синий</t>
        </is>
      </c>
      <c r="F57" t="inlineStr">
        <is>
          <t xml:space="preserve">50/170</t>
        </is>
      </c>
      <c r="G57">
        <v>1</v>
      </c>
      <c r="H57" s="2">
        <v>32.0</v>
      </c>
      <c r="I57" t="inlineStr">
        <is>
          <t xml:space="preserve">Хлопок 75% Полиэстер 23% Эластан 2%</t>
        </is>
      </c>
      <c r="J57" t="inlineStr">
        <is>
          <t xml:space="preserve">демисезон</t>
        </is>
      </c>
      <c r="K57" t="inlineStr">
        <is>
          <t xml:space="preserve">Бангладеш</t>
        </is>
      </c>
      <c r="L57" t="inlineStr">
        <is>
          <t xml:space="preserve">6204631800</t>
        </is>
      </c>
      <c r="M57" t="inlineStr">
        <is>
          <t xml:space="preserve">Декларация № ЕАЭС № BY/112 11.01. ТР017 122.01 08246, до 19.04.2028</t>
        </is>
      </c>
      <c r="N57" t="inlineStr">
        <is>
          <t xml:space="preserve">35 × 30 × 4</t>
        </is>
      </c>
      <c r="O57" t="inlineStr">
        <is>
          <t xml:space="preserve">0,6</t>
        </is>
      </c>
      <c r="P57" t="inlineStr">
        <is>
          <t xml:space="preserve">2016957044330</t>
        </is>
      </c>
      <c r="Q57" s="3" t="str">
        <f>HYPERLINK("https://modify.by/img/140806842/1.webp","фото")</f>
        <v>фото</v>
      </c>
      <c r="R57" s="3" t="str">
        <f>HYPERLINK("https://modify.by/catalog/bryuki/140806842/?utm_source=price&amp;utm_medium=xlsx","открыть")</f>
        <v>открыть</v>
      </c>
    </row>
    <row r="58">
      <c r="A58" t="inlineStr">
        <is>
          <t xml:space="preserve">Женский</t>
        </is>
      </c>
      <c r="B58" t="inlineStr">
        <is>
          <t xml:space="preserve">Брюки</t>
        </is>
      </c>
      <c r="C58" t="inlineStr">
        <is>
          <t xml:space="preserve">Брюки 7/8 с разрезами офисные</t>
        </is>
      </c>
      <c r="D58" t="inlineStr">
        <is>
          <t xml:space="preserve">PA32W013Темно-синий</t>
        </is>
      </c>
      <c r="E58" t="inlineStr">
        <is>
          <t xml:space="preserve">темно-синий</t>
        </is>
      </c>
      <c r="F58" t="inlineStr">
        <is>
          <t xml:space="preserve">50/170</t>
        </is>
      </c>
      <c r="G58">
        <v>1</v>
      </c>
      <c r="H58" s="2">
        <v>32.0</v>
      </c>
      <c r="I58" t="inlineStr">
        <is>
          <t xml:space="preserve">Хлопок 75% Полиэстер 23% Эластан 2%</t>
        </is>
      </c>
      <c r="J58" t="inlineStr">
        <is>
          <t xml:space="preserve">демисезон</t>
        </is>
      </c>
      <c r="K58" t="inlineStr">
        <is>
          <t xml:space="preserve">Бангладеш</t>
        </is>
      </c>
      <c r="L58" t="inlineStr">
        <is>
          <t xml:space="preserve">6204631800</t>
        </is>
      </c>
      <c r="M58" t="inlineStr">
        <is>
          <t xml:space="preserve">Декларация № ЕАЭС № BY/112 11.01. ТР017 122.01 08246, до 19.04.2028</t>
        </is>
      </c>
      <c r="N58" t="inlineStr">
        <is>
          <t xml:space="preserve">35 × 30 × 4</t>
        </is>
      </c>
      <c r="O58" t="inlineStr">
        <is>
          <t xml:space="preserve">0,6</t>
        </is>
      </c>
      <c r="P58" t="inlineStr">
        <is>
          <t xml:space="preserve">4816148176356</t>
        </is>
      </c>
      <c r="Q58" s="3" t="str">
        <f>HYPERLINK("https://modify.by/img/140806842/1.webp","фото")</f>
        <v>фото</v>
      </c>
      <c r="R58" s="3" t="str">
        <f>HYPERLINK("https://modify.by/catalog/bryuki/140806842/?utm_source=price&amp;utm_medium=xlsx","открыть")</f>
        <v>открыть</v>
      </c>
    </row>
    <row r="59">
      <c r="A59" t="inlineStr">
        <is>
          <t xml:space="preserve">Женский</t>
        </is>
      </c>
      <c r="B59" t="inlineStr">
        <is>
          <t xml:space="preserve">Брюки</t>
        </is>
      </c>
      <c r="C59" t="inlineStr">
        <is>
          <t xml:space="preserve">Брюки 7/8 с разрезами офисные</t>
        </is>
      </c>
      <c r="D59" t="inlineStr">
        <is>
          <t xml:space="preserve">PA32W013Темно-синий</t>
        </is>
      </c>
      <c r="E59" t="inlineStr">
        <is>
          <t xml:space="preserve">темно-синий</t>
        </is>
      </c>
      <c r="F59" t="inlineStr">
        <is>
          <t xml:space="preserve">56/170</t>
        </is>
      </c>
      <c r="G59">
        <v>2</v>
      </c>
      <c r="H59" s="2">
        <v>32.0</v>
      </c>
      <c r="I59" t="inlineStr">
        <is>
          <t xml:space="preserve">Хлопок 75% Полиэстер 23% Эластан 2%</t>
        </is>
      </c>
      <c r="J59" t="inlineStr">
        <is>
          <t xml:space="preserve">демисезон</t>
        </is>
      </c>
      <c r="K59" t="inlineStr">
        <is>
          <t xml:space="preserve">Бангладеш</t>
        </is>
      </c>
      <c r="L59" t="inlineStr">
        <is>
          <t xml:space="preserve">6204631800</t>
        </is>
      </c>
      <c r="M59" t="inlineStr">
        <is>
          <t xml:space="preserve">Декларация № ЕАЭС № BY/112 11.01. ТР017 122.01 08246, до 19.04.2028</t>
        </is>
      </c>
      <c r="N59" t="inlineStr">
        <is>
          <t xml:space="preserve">35 × 30 × 4</t>
        </is>
      </c>
      <c r="O59" t="inlineStr">
        <is>
          <t xml:space="preserve">0,6</t>
        </is>
      </c>
      <c r="P59" t="inlineStr">
        <is>
          <t xml:space="preserve">2016957044309</t>
        </is>
      </c>
      <c r="Q59" s="3" t="str">
        <f>HYPERLINK("https://modify.by/img/140806842/1.webp","фото")</f>
        <v>фото</v>
      </c>
      <c r="R59" s="3" t="str">
        <f>HYPERLINK("https://modify.by/catalog/bryuki/140806842/?utm_source=price&amp;utm_medium=xlsx","открыть")</f>
        <v>открыть</v>
      </c>
    </row>
    <row r="60">
      <c r="A60" t="inlineStr">
        <is>
          <t xml:space="preserve">Женский</t>
        </is>
      </c>
      <c r="B60" t="inlineStr">
        <is>
          <t xml:space="preserve">Брюки</t>
        </is>
      </c>
      <c r="C60" t="inlineStr">
        <is>
          <t xml:space="preserve">Брюки 7/8 с разрезами офисные</t>
        </is>
      </c>
      <c r="D60" t="inlineStr">
        <is>
          <t xml:space="preserve">PA32W013Темно-синий</t>
        </is>
      </c>
      <c r="E60" t="inlineStr">
        <is>
          <t xml:space="preserve">темно-синий</t>
        </is>
      </c>
      <c r="F60" t="inlineStr">
        <is>
          <t xml:space="preserve">60/176</t>
        </is>
      </c>
      <c r="G60">
        <v>1</v>
      </c>
      <c r="H60" s="2">
        <v>32.0</v>
      </c>
      <c r="I60" t="inlineStr">
        <is>
          <t xml:space="preserve">Хлопок 75% Полиэстер 23% Эластан 2%</t>
        </is>
      </c>
      <c r="J60" t="inlineStr">
        <is>
          <t xml:space="preserve">демисезон</t>
        </is>
      </c>
      <c r="K60" t="inlineStr">
        <is>
          <t xml:space="preserve">Бангладеш</t>
        </is>
      </c>
      <c r="L60" t="inlineStr">
        <is>
          <t xml:space="preserve">6204631800</t>
        </is>
      </c>
      <c r="M60" t="inlineStr">
        <is>
          <t xml:space="preserve">Декларация № ЕАЭС № BY/112 11.01. ТР017 122.01 08246, до 19.04.2028</t>
        </is>
      </c>
      <c r="N60" t="inlineStr">
        <is>
          <t xml:space="preserve">35 × 30 × 4</t>
        </is>
      </c>
      <c r="O60" t="inlineStr">
        <is>
          <t xml:space="preserve">0,6</t>
        </is>
      </c>
      <c r="P60" t="inlineStr">
        <is>
          <t xml:space="preserve">2026620793717</t>
        </is>
      </c>
      <c r="Q60" s="3" t="str">
        <f>HYPERLINK("https://modify.by/img/140806842/1.webp","фото")</f>
        <v>фото</v>
      </c>
      <c r="R60" s="3" t="str">
        <f>HYPERLINK("https://modify.by/catalog/bryuki/140806842/?utm_source=price&amp;utm_medium=xlsx","открыть")</f>
        <v>открыть</v>
      </c>
    </row>
    <row r="61">
      <c r="A61" t="inlineStr">
        <is>
          <t xml:space="preserve">Женский</t>
        </is>
      </c>
      <c r="B61" t="inlineStr">
        <is>
          <t xml:space="preserve">Брюки</t>
        </is>
      </c>
      <c r="C61" t="inlineStr">
        <is>
          <t xml:space="preserve">Брюки в клетку легинсы</t>
        </is>
      </c>
      <c r="D61" t="inlineStr">
        <is>
          <t xml:space="preserve">PA12W02*Черный,белый</t>
        </is>
      </c>
      <c r="E61" t="inlineStr">
        <is>
          <t xml:space="preserve">черный</t>
        </is>
      </c>
      <c r="F61" t="inlineStr">
        <is>
          <t xml:space="preserve">48</t>
        </is>
      </c>
      <c r="G61">
        <v>2</v>
      </c>
      <c r="H61" s="2">
        <v>27.0</v>
      </c>
      <c r="I61" t="inlineStr">
        <is>
          <t xml:space="preserve">эластан 3%, вискоза 27%, полиэстер 70%</t>
        </is>
      </c>
      <c r="J61"/>
      <c r="K61" t="inlineStr">
        <is>
          <t xml:space="preserve">Бангладеш</t>
        </is>
      </c>
      <c r="L61" t="inlineStr">
        <is>
          <t xml:space="preserve">6203411000</t>
        </is>
      </c>
      <c r="M61" t="inlineStr">
        <is>
          <t xml:space="preserve">Декларация № ЕАЭС № BY/112 11.01. ТР017 122.01 08246, до 19.04.2028</t>
        </is>
      </c>
      <c r="N61" t="inlineStr">
        <is>
          <t xml:space="preserve">2 × 30 × 35</t>
        </is>
      </c>
      <c r="O61" t="inlineStr">
        <is>
          <t xml:space="preserve">0,4</t>
        </is>
      </c>
      <c r="P61" t="inlineStr">
        <is>
          <t xml:space="preserve">2004570290340</t>
        </is>
      </c>
      <c r="Q61" s="3" t="str">
        <f>HYPERLINK("https://modify.by/img/58453848/1.webp","фото")</f>
        <v>фото</v>
      </c>
      <c r="R61" s="3" t="str">
        <f>HYPERLINK("https://modify.by/catalog/bryuki/58453848/?utm_source=price&amp;utm_medium=xlsx","открыть")</f>
        <v>открыть</v>
      </c>
    </row>
    <row r="62">
      <c r="A62" t="inlineStr">
        <is>
          <t xml:space="preserve">Женский</t>
        </is>
      </c>
      <c r="B62" t="inlineStr">
        <is>
          <t xml:space="preserve">Брюки</t>
        </is>
      </c>
      <c r="C62" t="inlineStr">
        <is>
          <t xml:space="preserve">Брюки в клетку легинсы</t>
        </is>
      </c>
      <c r="D62" t="inlineStr">
        <is>
          <t xml:space="preserve">PA12W02*Черный,белый</t>
        </is>
      </c>
      <c r="E62" t="inlineStr">
        <is>
          <t xml:space="preserve">черный</t>
        </is>
      </c>
      <c r="F62" t="inlineStr">
        <is>
          <t xml:space="preserve">48</t>
        </is>
      </c>
      <c r="G62">
        <v>2</v>
      </c>
      <c r="H62" s="2">
        <v>27.0</v>
      </c>
      <c r="I62" t="inlineStr">
        <is>
          <t xml:space="preserve">эластан 3%, вискоза 27%, полиэстер 70%</t>
        </is>
      </c>
      <c r="J62"/>
      <c r="K62" t="inlineStr">
        <is>
          <t xml:space="preserve">Бангладеш</t>
        </is>
      </c>
      <c r="L62" t="inlineStr">
        <is>
          <t xml:space="preserve">6203411000</t>
        </is>
      </c>
      <c r="M62" t="inlineStr">
        <is>
          <t xml:space="preserve">Декларация № ЕАЭС № BY/112 11.01. ТР017 122.01 08246, до 19.04.2028</t>
        </is>
      </c>
      <c r="N62" t="inlineStr">
        <is>
          <t xml:space="preserve">2 × 30 × 35</t>
        </is>
      </c>
      <c r="O62" t="inlineStr">
        <is>
          <t xml:space="preserve">0,4</t>
        </is>
      </c>
      <c r="P62" t="inlineStr">
        <is>
          <t xml:space="preserve">4816148177315</t>
        </is>
      </c>
      <c r="Q62" s="3" t="str">
        <f>HYPERLINK("https://modify.by/img/58453848/1.webp","фото")</f>
        <v>фото</v>
      </c>
      <c r="R62" s="3" t="str">
        <f>HYPERLINK("https://modify.by/catalog/bryuki/58453848/?utm_source=price&amp;utm_medium=xlsx","открыть")</f>
        <v>открыть</v>
      </c>
    </row>
    <row r="63">
      <c r="A63" t="inlineStr">
        <is>
          <t xml:space="preserve">Женский</t>
        </is>
      </c>
      <c r="B63" t="inlineStr">
        <is>
          <t xml:space="preserve">Брюки</t>
        </is>
      </c>
      <c r="C63" t="inlineStr">
        <is>
          <t xml:space="preserve">Брюки вельветовые штроксы 100% хлопок, марсала</t>
        </is>
      </c>
      <c r="D63" t="inlineStr">
        <is>
          <t xml:space="preserve">PA62W05_sm_бордо</t>
        </is>
      </c>
      <c r="E63" t="inlineStr">
        <is>
          <t xml:space="preserve">марсала, бордовый</t>
        </is>
      </c>
      <c r="F63" t="inlineStr">
        <is>
          <t xml:space="preserve">44-170</t>
        </is>
      </c>
      <c r="G63">
        <v>2</v>
      </c>
      <c r="H63" s="2">
        <v>46.0</v>
      </c>
      <c r="I63" t="inlineStr">
        <is>
          <t xml:space="preserve">хлопок</t>
        </is>
      </c>
      <c r="J63" t="inlineStr">
        <is>
          <t xml:space="preserve">Демисезон</t>
        </is>
      </c>
      <c r="K63" t="inlineStr">
        <is>
          <t xml:space="preserve">Бангладеш</t>
        </is>
      </c>
      <c r="L63" t="inlineStr">
        <is>
          <t xml:space="preserve">6204623900</t>
        </is>
      </c>
      <c r="M63" t="inlineStr">
        <is>
          <t xml:space="preserve">Декларация № ЕАЭС № BY/112 11.01. ТР017 122.01 08246, до 19.04.2028</t>
        </is>
      </c>
      <c r="N63" t="inlineStr">
        <is>
          <t xml:space="preserve">28 × 21 × 6</t>
        </is>
      </c>
      <c r="O63" t="inlineStr">
        <is>
          <t xml:space="preserve">0,69</t>
        </is>
      </c>
      <c r="P63" t="inlineStr">
        <is>
          <t xml:space="preserve">4816148177452</t>
        </is>
      </c>
      <c r="Q63" s="3" t="str">
        <f>HYPERLINK("https://modify.by/img/857565650/1.webp","фото")</f>
        <v>фото</v>
      </c>
      <c r="R63" s="3" t="str">
        <f>HYPERLINK("https://modify.by/catalog/bryuki/857565650/?utm_source=price&amp;utm_medium=xlsx","открыть")</f>
        <v>открыть</v>
      </c>
    </row>
    <row r="64">
      <c r="A64" t="inlineStr">
        <is>
          <t xml:space="preserve">Женский</t>
        </is>
      </c>
      <c r="B64" t="inlineStr">
        <is>
          <t xml:space="preserve">Брюки</t>
        </is>
      </c>
      <c r="C64" t="inlineStr">
        <is>
          <t xml:space="preserve">Брюки вельветовые штроксы 100% хлопок, темно-синий</t>
        </is>
      </c>
      <c r="D64" t="inlineStr">
        <is>
          <t xml:space="preserve">PA62W05_sm_темно-синий</t>
        </is>
      </c>
      <c r="E64" t="inlineStr">
        <is>
          <t xml:space="preserve">темно-синий</t>
        </is>
      </c>
      <c r="F64" t="inlineStr">
        <is>
          <t xml:space="preserve">44-170</t>
        </is>
      </c>
      <c r="G64">
        <v>3</v>
      </c>
      <c r="H64" s="2">
        <v>46.0</v>
      </c>
      <c r="I64" t="inlineStr">
        <is>
          <t xml:space="preserve">хлопок</t>
        </is>
      </c>
      <c r="J64" t="inlineStr">
        <is>
          <t xml:space="preserve">Демисезон</t>
        </is>
      </c>
      <c r="K64" t="inlineStr">
        <is>
          <t xml:space="preserve">Бангладеш</t>
        </is>
      </c>
      <c r="L64" t="inlineStr">
        <is>
          <t xml:space="preserve">6204623900</t>
        </is>
      </c>
      <c r="M64" t="inlineStr">
        <is>
          <t xml:space="preserve">Декларация № ЕАЭС № BY/112 11.01. ТР017 122.01 08246, до 19.04.2028</t>
        </is>
      </c>
      <c r="N64" t="inlineStr">
        <is>
          <t xml:space="preserve">28 × 21 × 6</t>
        </is>
      </c>
      <c r="O64" t="inlineStr">
        <is>
          <t xml:space="preserve">0,69</t>
        </is>
      </c>
      <c r="P64" t="inlineStr">
        <is>
          <t xml:space="preserve">4816148175403</t>
        </is>
      </c>
      <c r="Q64" s="3" t="str">
        <f>HYPERLINK("https://modify.by/img/778302983/1.webp","фото")</f>
        <v>фото</v>
      </c>
      <c r="R64" s="3" t="str">
        <f>HYPERLINK("https://modify.by/catalog/bryuki/778302983/?utm_source=price&amp;utm_medium=xlsx","открыть")</f>
        <v>открыть</v>
      </c>
    </row>
    <row r="65">
      <c r="A65" t="inlineStr">
        <is>
          <t xml:space="preserve">Женский</t>
        </is>
      </c>
      <c r="B65" t="inlineStr">
        <is>
          <t xml:space="preserve">Брюки</t>
        </is>
      </c>
      <c r="C65" t="inlineStr">
        <is>
          <t xml:space="preserve">Брюки вельветовые штроксы 100% хлопок, темно-синий</t>
        </is>
      </c>
      <c r="D65" t="inlineStr">
        <is>
          <t xml:space="preserve">PA62W05_sm_темно-синий</t>
        </is>
      </c>
      <c r="E65" t="inlineStr">
        <is>
          <t xml:space="preserve">темно-синий</t>
        </is>
      </c>
      <c r="F65" t="inlineStr">
        <is>
          <t xml:space="preserve">46-164</t>
        </is>
      </c>
      <c r="G65">
        <v>3</v>
      </c>
      <c r="H65" s="2">
        <v>46.0</v>
      </c>
      <c r="I65" t="inlineStr">
        <is>
          <t xml:space="preserve">хлопок</t>
        </is>
      </c>
      <c r="J65" t="inlineStr">
        <is>
          <t xml:space="preserve">Демисезон</t>
        </is>
      </c>
      <c r="K65" t="inlineStr">
        <is>
          <t xml:space="preserve">Бангладеш</t>
        </is>
      </c>
      <c r="L65" t="inlineStr">
        <is>
          <t xml:space="preserve">6204623900</t>
        </is>
      </c>
      <c r="M65" t="inlineStr">
        <is>
          <t xml:space="preserve">Декларация № ЕАЭС № BY/112 11.01. ТР017 122.01 08246, до 19.04.2028</t>
        </is>
      </c>
      <c r="N65" t="inlineStr">
        <is>
          <t xml:space="preserve">28 × 21 × 6</t>
        </is>
      </c>
      <c r="O65" t="inlineStr">
        <is>
          <t xml:space="preserve">0,69</t>
        </is>
      </c>
      <c r="P65" t="inlineStr">
        <is>
          <t xml:space="preserve">4816148175311</t>
        </is>
      </c>
      <c r="Q65" s="3" t="str">
        <f>HYPERLINK("https://modify.by/img/778302983/1.webp","фото")</f>
        <v>фото</v>
      </c>
      <c r="R65" s="3" t="str">
        <f>HYPERLINK("https://modify.by/catalog/bryuki/778302983/?utm_source=price&amp;utm_medium=xlsx","открыть")</f>
        <v>открыть</v>
      </c>
    </row>
    <row r="66">
      <c r="A66" t="inlineStr">
        <is>
          <t xml:space="preserve">Женский</t>
        </is>
      </c>
      <c r="B66" t="inlineStr">
        <is>
          <t xml:space="preserve">Брюки</t>
        </is>
      </c>
      <c r="C66" t="inlineStr">
        <is>
          <t xml:space="preserve">Брюки вельветовые штроксы 100% хлопок, темно-синий</t>
        </is>
      </c>
      <c r="D66" t="inlineStr">
        <is>
          <t xml:space="preserve">PA62W05_sm_темно-синий</t>
        </is>
      </c>
      <c r="E66" t="inlineStr">
        <is>
          <t xml:space="preserve">темно-синий</t>
        </is>
      </c>
      <c r="F66" t="inlineStr">
        <is>
          <t xml:space="preserve">46-170</t>
        </is>
      </c>
      <c r="G66">
        <v>3</v>
      </c>
      <c r="H66" s="2">
        <v>46.0</v>
      </c>
      <c r="I66" t="inlineStr">
        <is>
          <t xml:space="preserve">хлопок</t>
        </is>
      </c>
      <c r="J66" t="inlineStr">
        <is>
          <t xml:space="preserve">Демисезон</t>
        </is>
      </c>
      <c r="K66" t="inlineStr">
        <is>
          <t xml:space="preserve">Бангладеш</t>
        </is>
      </c>
      <c r="L66" t="inlineStr">
        <is>
          <t xml:space="preserve">6204623900</t>
        </is>
      </c>
      <c r="M66" t="inlineStr">
        <is>
          <t xml:space="preserve">Декларация № ЕАЭС № BY/112 11.01. ТР017 122.01 08246, до 19.04.2028</t>
        </is>
      </c>
      <c r="N66" t="inlineStr">
        <is>
          <t xml:space="preserve">28 × 21 × 6</t>
        </is>
      </c>
      <c r="O66" t="inlineStr">
        <is>
          <t xml:space="preserve">0,69</t>
        </is>
      </c>
      <c r="P66" t="inlineStr">
        <is>
          <t xml:space="preserve">4816148175410</t>
        </is>
      </c>
      <c r="Q66" s="3" t="str">
        <f>HYPERLINK("https://modify.by/img/778302983/1.webp","фото")</f>
        <v>фото</v>
      </c>
      <c r="R66" s="3" t="str">
        <f>HYPERLINK("https://modify.by/catalog/bryuki/778302983/?utm_source=price&amp;utm_medium=xlsx","открыть")</f>
        <v>открыть</v>
      </c>
    </row>
    <row r="67">
      <c r="A67" t="inlineStr">
        <is>
          <t xml:space="preserve">Женский</t>
        </is>
      </c>
      <c r="B67" t="inlineStr">
        <is>
          <t xml:space="preserve">Брюки</t>
        </is>
      </c>
      <c r="C67" t="inlineStr">
        <is>
          <t xml:space="preserve">Брюки высокая талия</t>
        </is>
      </c>
      <c r="D67" t="inlineStr">
        <is>
          <t xml:space="preserve">PA02W01бордовый</t>
        </is>
      </c>
      <c r="E67" t="inlineStr">
        <is>
          <t xml:space="preserve">бордовый</t>
        </is>
      </c>
      <c r="F67" t="inlineStr">
        <is>
          <t xml:space="preserve">48</t>
        </is>
      </c>
      <c r="G67">
        <v>1</v>
      </c>
      <c r="H67" s="2">
        <v>26.0</v>
      </c>
      <c r="I67" t="inlineStr">
        <is>
          <t xml:space="preserve">хлопок, эластан, вискоза</t>
        </is>
      </c>
      <c r="J67"/>
      <c r="K67" t="inlineStr">
        <is>
          <t xml:space="preserve">Бангладеш</t>
        </is>
      </c>
      <c r="L67" t="inlineStr">
        <is>
          <t xml:space="preserve">6203411000</t>
        </is>
      </c>
      <c r="M67" t="inlineStr">
        <is>
          <t xml:space="preserve">по запросу</t>
        </is>
      </c>
      <c r="N67"/>
      <c r="O67"/>
      <c r="P67" t="inlineStr">
        <is>
          <t xml:space="preserve">8595633718115</t>
        </is>
      </c>
      <c r="Q67" s="3" t="str">
        <f>HYPERLINK("https://modify.by/img/32996080/1.webp","фото")</f>
        <v>фото</v>
      </c>
      <c r="R67" s="3" t="str">
        <f>HYPERLINK("https://modify.by/catalog/bryuki/32996080/?utm_source=price&amp;utm_medium=xlsx","открыть")</f>
        <v>открыть</v>
      </c>
    </row>
    <row r="68">
      <c r="A68" t="inlineStr">
        <is>
          <t xml:space="preserve">Женский</t>
        </is>
      </c>
      <c r="B68" t="inlineStr">
        <is>
          <t xml:space="preserve">Брюки</t>
        </is>
      </c>
      <c r="C68" t="inlineStr">
        <is>
          <t xml:space="preserve">Брюки дудочки вечерние из металлизированной ткани</t>
        </is>
      </c>
      <c r="D68" t="inlineStr">
        <is>
          <t xml:space="preserve">PA62W04</t>
        </is>
      </c>
      <c r="E68" t="inlineStr">
        <is>
          <t xml:space="preserve">золотисто-коричневый, темный металл</t>
        </is>
      </c>
      <c r="F68" t="inlineStr">
        <is>
          <t xml:space="preserve">42</t>
        </is>
      </c>
      <c r="G68">
        <v>21</v>
      </c>
      <c r="H68" s="2">
        <v>30.0</v>
      </c>
      <c r="I68" t="inlineStr">
        <is>
          <t xml:space="preserve">30% металлизированная акриловая нить, 60% полиамид, 10% ПЭ</t>
        </is>
      </c>
      <c r="J68" t="inlineStr">
        <is>
          <t xml:space="preserve">демисезон</t>
        </is>
      </c>
      <c r="K68" t="inlineStr">
        <is>
          <t xml:space="preserve">Бангладеш</t>
        </is>
      </c>
      <c r="L68" t="inlineStr">
        <is>
          <t xml:space="preserve">6204631800</t>
        </is>
      </c>
      <c r="M68" t="inlineStr">
        <is>
          <t xml:space="preserve">Декларация № ЕАЭС N RU Д-CN.РА02.В.44039/24, до 28.02.2029</t>
        </is>
      </c>
      <c r="N68" t="inlineStr">
        <is>
          <t xml:space="preserve">30 × 26 × 3</t>
        </is>
      </c>
      <c r="O68" t="inlineStr">
        <is>
          <t xml:space="preserve">0,45</t>
        </is>
      </c>
      <c r="P68" t="inlineStr">
        <is>
          <t xml:space="preserve">4816148174895</t>
        </is>
      </c>
      <c r="Q68" s="3" t="str">
        <f>HYPERLINK("https://modify.by/img/751556785/1.webp","фото")</f>
        <v>фото</v>
      </c>
      <c r="R68" s="3" t="str">
        <f>HYPERLINK("https://modify.by/catalog/bryuki/751556785/?utm_source=price&amp;utm_medium=xlsx","открыть")</f>
        <v>открыть</v>
      </c>
    </row>
    <row r="69">
      <c r="A69" t="inlineStr">
        <is>
          <t xml:space="preserve">Женский</t>
        </is>
      </c>
      <c r="B69" t="inlineStr">
        <is>
          <t xml:space="preserve">Брюки</t>
        </is>
      </c>
      <c r="C69" t="inlineStr">
        <is>
          <t xml:space="preserve">Брюки дудочки вечерние из металлизированной ткани</t>
        </is>
      </c>
      <c r="D69" t="inlineStr">
        <is>
          <t xml:space="preserve">PA62W04</t>
        </is>
      </c>
      <c r="E69" t="inlineStr">
        <is>
          <t xml:space="preserve">золотисто-коричневый, темный металл</t>
        </is>
      </c>
      <c r="F69" t="inlineStr">
        <is>
          <t xml:space="preserve">44</t>
        </is>
      </c>
      <c r="G69">
        <v>16</v>
      </c>
      <c r="H69" s="2">
        <v>30.0</v>
      </c>
      <c r="I69" t="inlineStr">
        <is>
          <t xml:space="preserve">30% металлизированная акриловая нить, 60% полиамид, 10% ПЭ</t>
        </is>
      </c>
      <c r="J69" t="inlineStr">
        <is>
          <t xml:space="preserve">демисезон</t>
        </is>
      </c>
      <c r="K69" t="inlineStr">
        <is>
          <t xml:space="preserve">Бангладеш</t>
        </is>
      </c>
      <c r="L69" t="inlineStr">
        <is>
          <t xml:space="preserve">6204631800</t>
        </is>
      </c>
      <c r="M69" t="inlineStr">
        <is>
          <t xml:space="preserve">Декларация № ЕАЭС N RU Д-CN.РА02.В.44039/24, до 28.02.2029</t>
        </is>
      </c>
      <c r="N69" t="inlineStr">
        <is>
          <t xml:space="preserve">30 × 26 × 3</t>
        </is>
      </c>
      <c r="O69" t="inlineStr">
        <is>
          <t xml:space="preserve">0,45</t>
        </is>
      </c>
      <c r="P69" t="inlineStr">
        <is>
          <t xml:space="preserve">4816148174901</t>
        </is>
      </c>
      <c r="Q69" s="3" t="str">
        <f>HYPERLINK("https://modify.by/img/751556785/1.webp","фото")</f>
        <v>фото</v>
      </c>
      <c r="R69" s="3" t="str">
        <f>HYPERLINK("https://modify.by/catalog/bryuki/751556785/?utm_source=price&amp;utm_medium=xlsx","открыть")</f>
        <v>открыть</v>
      </c>
    </row>
    <row r="70">
      <c r="A70" t="inlineStr">
        <is>
          <t xml:space="preserve">Женский</t>
        </is>
      </c>
      <c r="B70" t="inlineStr">
        <is>
          <t xml:space="preserve">Брюки</t>
        </is>
      </c>
      <c r="C70" t="inlineStr">
        <is>
          <t xml:space="preserve">Брюки дудочки вечерние из металлизированной ткани</t>
        </is>
      </c>
      <c r="D70" t="inlineStr">
        <is>
          <t xml:space="preserve">PA62W04</t>
        </is>
      </c>
      <c r="E70" t="inlineStr">
        <is>
          <t xml:space="preserve">золотисто-коричневый, темный металл</t>
        </is>
      </c>
      <c r="F70" t="inlineStr">
        <is>
          <t xml:space="preserve">46</t>
        </is>
      </c>
      <c r="G70">
        <v>16</v>
      </c>
      <c r="H70" s="2">
        <v>30.0</v>
      </c>
      <c r="I70" t="inlineStr">
        <is>
          <t xml:space="preserve">30% металлизированная акриловая нить, 60% полиамид, 10% ПЭ</t>
        </is>
      </c>
      <c r="J70" t="inlineStr">
        <is>
          <t xml:space="preserve">демисезон</t>
        </is>
      </c>
      <c r="K70" t="inlineStr">
        <is>
          <t xml:space="preserve">Бангладеш</t>
        </is>
      </c>
      <c r="L70" t="inlineStr">
        <is>
          <t xml:space="preserve">6204631800</t>
        </is>
      </c>
      <c r="M70" t="inlineStr">
        <is>
          <t xml:space="preserve">Декларация № ЕАЭС N RU Д-CN.РА02.В.44039/24, до 28.02.2029</t>
        </is>
      </c>
      <c r="N70" t="inlineStr">
        <is>
          <t xml:space="preserve">30 × 26 × 3</t>
        </is>
      </c>
      <c r="O70" t="inlineStr">
        <is>
          <t xml:space="preserve">0,45</t>
        </is>
      </c>
      <c r="P70" t="inlineStr">
        <is>
          <t xml:space="preserve">4816148174918</t>
        </is>
      </c>
      <c r="Q70" s="3" t="str">
        <f>HYPERLINK("https://modify.by/img/751556785/1.webp","фото")</f>
        <v>фото</v>
      </c>
      <c r="R70" s="3" t="str">
        <f>HYPERLINK("https://modify.by/catalog/bryuki/751556785/?utm_source=price&amp;utm_medium=xlsx","открыть")</f>
        <v>открыть</v>
      </c>
    </row>
    <row r="71">
      <c r="A71" t="inlineStr">
        <is>
          <t xml:space="preserve">Женский</t>
        </is>
      </c>
      <c r="B71" t="inlineStr">
        <is>
          <t xml:space="preserve">Брюки</t>
        </is>
      </c>
      <c r="C71" t="inlineStr">
        <is>
          <t xml:space="preserve">Брюки дудочки вечерние из металлизированной ткани</t>
        </is>
      </c>
      <c r="D71" t="inlineStr">
        <is>
          <t xml:space="preserve">PA62W04</t>
        </is>
      </c>
      <c r="E71" t="inlineStr">
        <is>
          <t xml:space="preserve">золотисто-коричневый, темный металл</t>
        </is>
      </c>
      <c r="F71" t="inlineStr">
        <is>
          <t xml:space="preserve">48</t>
        </is>
      </c>
      <c r="G71">
        <v>17</v>
      </c>
      <c r="H71" s="2">
        <v>30.0</v>
      </c>
      <c r="I71" t="inlineStr">
        <is>
          <t xml:space="preserve">30% металлизированная акриловая нить, 60% полиамид, 10% ПЭ</t>
        </is>
      </c>
      <c r="J71" t="inlineStr">
        <is>
          <t xml:space="preserve">демисезон</t>
        </is>
      </c>
      <c r="K71" t="inlineStr">
        <is>
          <t xml:space="preserve">Бангладеш</t>
        </is>
      </c>
      <c r="L71" t="inlineStr">
        <is>
          <t xml:space="preserve">6204631800</t>
        </is>
      </c>
      <c r="M71" t="inlineStr">
        <is>
          <t xml:space="preserve">Декларация № ЕАЭС N RU Д-CN.РА02.В.44039/24, до 28.02.2029</t>
        </is>
      </c>
      <c r="N71" t="inlineStr">
        <is>
          <t xml:space="preserve">30 × 26 × 3</t>
        </is>
      </c>
      <c r="O71" t="inlineStr">
        <is>
          <t xml:space="preserve">0,45</t>
        </is>
      </c>
      <c r="P71" t="inlineStr">
        <is>
          <t xml:space="preserve">4816148174925</t>
        </is>
      </c>
      <c r="Q71" s="3" t="str">
        <f>HYPERLINK("https://modify.by/img/751556785/1.webp","фото")</f>
        <v>фото</v>
      </c>
      <c r="R71" s="3" t="str">
        <f>HYPERLINK("https://modify.by/catalog/bryuki/751556785/?utm_source=price&amp;utm_medium=xlsx","открыть")</f>
        <v>открыть</v>
      </c>
    </row>
    <row r="72">
      <c r="A72" t="inlineStr">
        <is>
          <t xml:space="preserve">Женский</t>
        </is>
      </c>
      <c r="B72" t="inlineStr">
        <is>
          <t xml:space="preserve">Брюки</t>
        </is>
      </c>
      <c r="C72" t="inlineStr">
        <is>
          <t xml:space="preserve">Брюки дудочки вечерние из металлизированной ткани</t>
        </is>
      </c>
      <c r="D72" t="inlineStr">
        <is>
          <t xml:space="preserve">PA62W04</t>
        </is>
      </c>
      <c r="E72" t="inlineStr">
        <is>
          <t xml:space="preserve">золотисто-коричневый, темный металл</t>
        </is>
      </c>
      <c r="F72" t="inlineStr">
        <is>
          <t xml:space="preserve">50</t>
        </is>
      </c>
      <c r="G72">
        <v>10</v>
      </c>
      <c r="H72" s="2">
        <v>30.0</v>
      </c>
      <c r="I72" t="inlineStr">
        <is>
          <t xml:space="preserve">30% металлизированная акриловая нить, 60% полиамид, 10% ПЭ</t>
        </is>
      </c>
      <c r="J72" t="inlineStr">
        <is>
          <t xml:space="preserve">демисезон</t>
        </is>
      </c>
      <c r="K72" t="inlineStr">
        <is>
          <t xml:space="preserve">Бангладеш</t>
        </is>
      </c>
      <c r="L72" t="inlineStr">
        <is>
          <t xml:space="preserve">6204631800</t>
        </is>
      </c>
      <c r="M72" t="inlineStr">
        <is>
          <t xml:space="preserve">Декларация № ЕАЭС N RU Д-CN.РА02.В.44039/24, до 28.02.2029</t>
        </is>
      </c>
      <c r="N72" t="inlineStr">
        <is>
          <t xml:space="preserve">30 × 26 × 3</t>
        </is>
      </c>
      <c r="O72" t="inlineStr">
        <is>
          <t xml:space="preserve">0,45</t>
        </is>
      </c>
      <c r="P72" t="inlineStr">
        <is>
          <t xml:space="preserve">4816148174932</t>
        </is>
      </c>
      <c r="Q72" s="3" t="str">
        <f>HYPERLINK("https://modify.by/img/751556785/1.webp","фото")</f>
        <v>фото</v>
      </c>
      <c r="R72" s="3" t="str">
        <f>HYPERLINK("https://modify.by/catalog/bryuki/751556785/?utm_source=price&amp;utm_medium=xlsx","открыть")</f>
        <v>открыть</v>
      </c>
    </row>
    <row r="73">
      <c r="A73" t="inlineStr">
        <is>
          <t xml:space="preserve">Женский</t>
        </is>
      </c>
      <c r="B73" t="inlineStr">
        <is>
          <t xml:space="preserve">Брюки</t>
        </is>
      </c>
      <c r="C73" t="inlineStr">
        <is>
          <t xml:space="preserve">Брюки женские широкие летние</t>
        </is>
      </c>
      <c r="D73" t="inlineStr">
        <is>
          <t xml:space="preserve">CP12W10Белый</t>
        </is>
      </c>
      <c r="E73" t="inlineStr">
        <is>
          <t xml:space="preserve">белый</t>
        </is>
      </c>
      <c r="F73" t="inlineStr">
        <is>
          <t xml:space="preserve">46-48</t>
        </is>
      </c>
      <c r="G73">
        <v>1</v>
      </c>
      <c r="H73" s="2">
        <v>21.0</v>
      </c>
      <c r="I73" t="inlineStr">
        <is>
          <t xml:space="preserve">хлопок 100%</t>
        </is>
      </c>
      <c r="J73" t="inlineStr">
        <is>
          <t xml:space="preserve">Лето</t>
        </is>
      </c>
      <c r="K73" t="inlineStr">
        <is>
          <t xml:space="preserve">Бангладеш</t>
        </is>
      </c>
      <c r="L73" t="inlineStr">
        <is>
          <t xml:space="preserve">6203411000</t>
        </is>
      </c>
      <c r="M73" t="inlineStr">
        <is>
          <t xml:space="preserve">по запросу</t>
        </is>
      </c>
      <c r="N73"/>
      <c r="O73"/>
      <c r="P73" t="inlineStr">
        <is>
          <t xml:space="preserve">8595633709021</t>
        </is>
      </c>
      <c r="Q73" s="3" t="str">
        <f>HYPERLINK("https://modify.by/img/93985529/1.webp","фото")</f>
        <v>фото</v>
      </c>
      <c r="R73" s="3" t="str">
        <f>HYPERLINK("https://modify.by/catalog/bryuki/93985529/?utm_source=price&amp;utm_medium=xlsx","открыть")</f>
        <v>открыть</v>
      </c>
    </row>
    <row r="74">
      <c r="A74" t="inlineStr">
        <is>
          <t xml:space="preserve">Женский</t>
        </is>
      </c>
      <c r="B74" t="inlineStr">
        <is>
          <t xml:space="preserve">Брюки</t>
        </is>
      </c>
      <c r="C74" t="inlineStr">
        <is>
          <t xml:space="preserve">Брюки карго свободного кроя хлопковые, песочный</t>
        </is>
      </c>
      <c r="D74" t="inlineStr">
        <is>
          <t xml:space="preserve">PA52M02Песочный</t>
        </is>
      </c>
      <c r="E74" t="inlineStr">
        <is>
          <t xml:space="preserve">песочный</t>
        </is>
      </c>
      <c r="F74" t="inlineStr">
        <is>
          <t xml:space="preserve">46</t>
        </is>
      </c>
      <c r="G74">
        <v>2</v>
      </c>
      <c r="H74" s="2">
        <v>50.0</v>
      </c>
      <c r="I74" t="inlineStr">
        <is>
          <t xml:space="preserve">Брюки женские с карманами 98% хлопок 2% спандекс, карго женские, женские брюки чиносы, штаны женские с карманами, штаны женские хлопок, чиносы мужские, карго…</t>
        </is>
      </c>
      <c r="J74" t="inlineStr">
        <is>
          <t xml:space="preserve">демисезон</t>
        </is>
      </c>
      <c r="K74" t="inlineStr">
        <is>
          <t xml:space="preserve">Бангладеш</t>
        </is>
      </c>
      <c r="L74" t="inlineStr">
        <is>
          <t xml:space="preserve">6203423500</t>
        </is>
      </c>
      <c r="M74" t="inlineStr">
        <is>
          <t xml:space="preserve">Декларация № ЕАЭС № BY/112 11.01. ТР017 122.01 08246, до 19.04.2028</t>
        </is>
      </c>
      <c r="N74" t="inlineStr">
        <is>
          <t xml:space="preserve">36 × 30 × 2</t>
        </is>
      </c>
      <c r="O74" t="inlineStr">
        <is>
          <t xml:space="preserve">0,6</t>
        </is>
      </c>
      <c r="P74" t="inlineStr">
        <is>
          <t xml:space="preserve">4816148157751</t>
        </is>
      </c>
      <c r="Q74" s="3" t="str">
        <f>HYPERLINK("https://modify.by/img/348650029/1.webp","фото")</f>
        <v>фото</v>
      </c>
      <c r="R74" s="3" t="str">
        <f>HYPERLINK("https://modify.by/catalog/bryuki/348650029/?utm_source=price&amp;utm_medium=xlsx","открыть")</f>
        <v>открыть</v>
      </c>
    </row>
    <row r="75">
      <c r="A75" t="inlineStr">
        <is>
          <t xml:space="preserve">Женский</t>
        </is>
      </c>
      <c r="B75" t="inlineStr">
        <is>
          <t xml:space="preserve">Брюки</t>
        </is>
      </c>
      <c r="C75" t="inlineStr">
        <is>
          <t xml:space="preserve">Брюки карго свободного кроя хлопковые, светлый хаки</t>
        </is>
      </c>
      <c r="D75" t="inlineStr">
        <is>
          <t xml:space="preserve">PA52M02Хаки</t>
        </is>
      </c>
      <c r="E75" t="inlineStr">
        <is>
          <t xml:space="preserve">светлый хаки</t>
        </is>
      </c>
      <c r="F75" t="inlineStr">
        <is>
          <t xml:space="preserve">46</t>
        </is>
      </c>
      <c r="G75">
        <v>1</v>
      </c>
      <c r="H75" s="2">
        <v>50.0</v>
      </c>
      <c r="I75" t="inlineStr">
        <is>
          <t xml:space="preserve">Брюки женские с карманами 98% хлопок 2% спандекс, карго женские, женские брюки чиносы, штаны женские с карманами, штаны женские хлопок, чиносы мужские, карго…</t>
        </is>
      </c>
      <c r="J75" t="inlineStr">
        <is>
          <t xml:space="preserve">демисезон</t>
        </is>
      </c>
      <c r="K75" t="inlineStr">
        <is>
          <t xml:space="preserve">Бангладеш</t>
        </is>
      </c>
      <c r="L75" t="inlineStr">
        <is>
          <t xml:space="preserve">6203423500</t>
        </is>
      </c>
      <c r="M75" t="inlineStr">
        <is>
          <t xml:space="preserve">Декларация № ЕАЭС № BY/112 11.01. ТР017 122.01 08246, до 19.04.2028</t>
        </is>
      </c>
      <c r="N75" t="inlineStr">
        <is>
          <t xml:space="preserve">36 × 30 × 2</t>
        </is>
      </c>
      <c r="O75" t="inlineStr">
        <is>
          <t xml:space="preserve">0,6</t>
        </is>
      </c>
      <c r="P75" t="inlineStr">
        <is>
          <t xml:space="preserve">4816148157805</t>
        </is>
      </c>
      <c r="Q75" s="3" t="str">
        <f>HYPERLINK("https://modify.by/img/348650032/1.webp","фото")</f>
        <v>фото</v>
      </c>
      <c r="R75" s="3" t="str">
        <f>HYPERLINK("https://modify.by/catalog/bryuki/348650032/?utm_source=price&amp;utm_medium=xlsx","открыть")</f>
        <v>открыть</v>
      </c>
    </row>
    <row r="76">
      <c r="A76" t="inlineStr">
        <is>
          <t xml:space="preserve">Женский</t>
        </is>
      </c>
      <c r="B76" t="inlineStr">
        <is>
          <t xml:space="preserve">Брюки</t>
        </is>
      </c>
      <c r="C76" t="inlineStr">
        <is>
          <t xml:space="preserve">Брюки карго свободного кроя хлопковые, светлый хаки</t>
        </is>
      </c>
      <c r="D76" t="inlineStr">
        <is>
          <t xml:space="preserve">PA52M02Хаки</t>
        </is>
      </c>
      <c r="E76" t="inlineStr">
        <is>
          <t xml:space="preserve">светлый хаки</t>
        </is>
      </c>
      <c r="F76" t="inlineStr">
        <is>
          <t xml:space="preserve">48</t>
        </is>
      </c>
      <c r="G76">
        <v>21</v>
      </c>
      <c r="H76" s="2">
        <v>50.0</v>
      </c>
      <c r="I76" t="inlineStr">
        <is>
          <t xml:space="preserve">Брюки женские с карманами 98% хлопок 2% спандекс, карго женские, женские брюки чиносы, штаны женские с карманами, штаны женские хлопок, чиносы мужские, карго…</t>
        </is>
      </c>
      <c r="J76" t="inlineStr">
        <is>
          <t xml:space="preserve">демисезон</t>
        </is>
      </c>
      <c r="K76" t="inlineStr">
        <is>
          <t xml:space="preserve">Бангладеш</t>
        </is>
      </c>
      <c r="L76" t="inlineStr">
        <is>
          <t xml:space="preserve">6203423500</t>
        </is>
      </c>
      <c r="M76" t="inlineStr">
        <is>
          <t xml:space="preserve">Декларация № ЕАЭС № BY/112 11.01. ТР017 122.01 08246, до 19.04.2028</t>
        </is>
      </c>
      <c r="N76" t="inlineStr">
        <is>
          <t xml:space="preserve">36 × 30 × 2</t>
        </is>
      </c>
      <c r="O76" t="inlineStr">
        <is>
          <t xml:space="preserve">0,6</t>
        </is>
      </c>
      <c r="P76" t="inlineStr">
        <is>
          <t xml:space="preserve">4816148157812</t>
        </is>
      </c>
      <c r="Q76" s="3" t="str">
        <f>HYPERLINK("https://modify.by/img/348650032/1.webp","фото")</f>
        <v>фото</v>
      </c>
      <c r="R76" s="3" t="str">
        <f>HYPERLINK("https://modify.by/catalog/bryuki/348650032/?utm_source=price&amp;utm_medium=xlsx","открыть")</f>
        <v>открыть</v>
      </c>
    </row>
    <row r="77">
      <c r="A77" t="inlineStr">
        <is>
          <t xml:space="preserve">Женский</t>
        </is>
      </c>
      <c r="B77" t="inlineStr">
        <is>
          <t xml:space="preserve">Брюки</t>
        </is>
      </c>
      <c r="C77" t="inlineStr">
        <is>
          <t xml:space="preserve">Брюки классические офисные зауженные дудочки, серый</t>
        </is>
      </c>
      <c r="D77" t="inlineStr">
        <is>
          <t xml:space="preserve">T3PA52W04серый</t>
        </is>
      </c>
      <c r="E77" t="inlineStr">
        <is>
          <t xml:space="preserve">серый</t>
        </is>
      </c>
      <c r="F77" t="inlineStr">
        <is>
          <t xml:space="preserve">42</t>
        </is>
      </c>
      <c r="G77">
        <v>1</v>
      </c>
      <c r="H77" s="2">
        <v>59.0</v>
      </c>
      <c r="I77" t="inlineStr">
        <is>
          <t xml:space="preserve">50% вискоза, 50% полиэстер</t>
        </is>
      </c>
      <c r="J77" t="inlineStr">
        <is>
          <t xml:space="preserve">демисезон</t>
        </is>
      </c>
      <c r="K77" t="inlineStr">
        <is>
          <t xml:space="preserve">Китай</t>
        </is>
      </c>
      <c r="L77" t="inlineStr">
        <is>
          <t xml:space="preserve">6204631800</t>
        </is>
      </c>
      <c r="M77" t="inlineStr">
        <is>
          <t xml:space="preserve">Декларация № ЕАЭС N RU Д-CN.РА02.В.44039/24, до 28.02.2029</t>
        </is>
      </c>
      <c r="N77" t="inlineStr">
        <is>
          <t xml:space="preserve">26 × 20 × 3</t>
        </is>
      </c>
      <c r="O77" t="inlineStr">
        <is>
          <t xml:space="preserve">0,32</t>
        </is>
      </c>
      <c r="P77" t="inlineStr">
        <is>
          <t xml:space="preserve">4816148152053</t>
        </is>
      </c>
      <c r="Q77" s="3" t="str">
        <f>HYPERLINK("https://modify.by/img/293259872/1.webp","фото")</f>
        <v>фото</v>
      </c>
      <c r="R77" s="3" t="str">
        <f>HYPERLINK("https://modify.by/catalog/bryuki/293259872/?utm_source=price&amp;utm_medium=xlsx","открыть")</f>
        <v>открыть</v>
      </c>
    </row>
    <row r="78">
      <c r="A78" t="inlineStr">
        <is>
          <t xml:space="preserve">Женский</t>
        </is>
      </c>
      <c r="B78" t="inlineStr">
        <is>
          <t xml:space="preserve">Брюки</t>
        </is>
      </c>
      <c r="C78" t="inlineStr">
        <is>
          <t xml:space="preserve">Брюки классические офисные зауженные дудочки, серый</t>
        </is>
      </c>
      <c r="D78" t="inlineStr">
        <is>
          <t xml:space="preserve">T3PA52W04серый</t>
        </is>
      </c>
      <c r="E78" t="inlineStr">
        <is>
          <t xml:space="preserve">серый</t>
        </is>
      </c>
      <c r="F78" t="inlineStr">
        <is>
          <t xml:space="preserve">48</t>
        </is>
      </c>
      <c r="G78">
        <v>6</v>
      </c>
      <c r="H78" s="2">
        <v>59.0</v>
      </c>
      <c r="I78" t="inlineStr">
        <is>
          <t xml:space="preserve">50% вискоза, 50% полиэстер</t>
        </is>
      </c>
      <c r="J78" t="inlineStr">
        <is>
          <t xml:space="preserve">демисезон</t>
        </is>
      </c>
      <c r="K78" t="inlineStr">
        <is>
          <t xml:space="preserve">Китай</t>
        </is>
      </c>
      <c r="L78" t="inlineStr">
        <is>
          <t xml:space="preserve">6204631800</t>
        </is>
      </c>
      <c r="M78" t="inlineStr">
        <is>
          <t xml:space="preserve">Декларация № ЕАЭС N RU Д-CN.РА02.В.44039/24, до 28.02.2029</t>
        </is>
      </c>
      <c r="N78" t="inlineStr">
        <is>
          <t xml:space="preserve">26 × 20 × 3</t>
        </is>
      </c>
      <c r="O78" t="inlineStr">
        <is>
          <t xml:space="preserve">0,32</t>
        </is>
      </c>
      <c r="P78" t="inlineStr">
        <is>
          <t xml:space="preserve">4816148152084</t>
        </is>
      </c>
      <c r="Q78" s="3" t="str">
        <f>HYPERLINK("https://modify.by/img/293259872/1.webp","фото")</f>
        <v>фото</v>
      </c>
      <c r="R78" s="3" t="str">
        <f>HYPERLINK("https://modify.by/catalog/bryuki/293259872/?utm_source=price&amp;utm_medium=xlsx","открыть")</f>
        <v>открыть</v>
      </c>
    </row>
    <row r="79">
      <c r="A79" t="inlineStr">
        <is>
          <t xml:space="preserve">Женский</t>
        </is>
      </c>
      <c r="B79" t="inlineStr">
        <is>
          <t xml:space="preserve">Брюки</t>
        </is>
      </c>
      <c r="C79" t="inlineStr">
        <is>
          <t xml:space="preserve">Брюки классические офисные зауженные дудочки, серый</t>
        </is>
      </c>
      <c r="D79" t="inlineStr">
        <is>
          <t xml:space="preserve">T3PA52W04серый</t>
        </is>
      </c>
      <c r="E79" t="inlineStr">
        <is>
          <t xml:space="preserve">серый</t>
        </is>
      </c>
      <c r="F79" t="inlineStr">
        <is>
          <t xml:space="preserve">50</t>
        </is>
      </c>
      <c r="G79">
        <v>3</v>
      </c>
      <c r="H79" s="2">
        <v>59.0</v>
      </c>
      <c r="I79" t="inlineStr">
        <is>
          <t xml:space="preserve">50% вискоза, 50% полиэстер</t>
        </is>
      </c>
      <c r="J79" t="inlineStr">
        <is>
          <t xml:space="preserve">демисезон</t>
        </is>
      </c>
      <c r="K79" t="inlineStr">
        <is>
          <t xml:space="preserve">Китай</t>
        </is>
      </c>
      <c r="L79" t="inlineStr">
        <is>
          <t xml:space="preserve">6204631800</t>
        </is>
      </c>
      <c r="M79" t="inlineStr">
        <is>
          <t xml:space="preserve">Декларация № ЕАЭС N RU Д-CN.РА02.В.44039/24, до 28.02.2029</t>
        </is>
      </c>
      <c r="N79" t="inlineStr">
        <is>
          <t xml:space="preserve">26 × 20 × 3</t>
        </is>
      </c>
      <c r="O79" t="inlineStr">
        <is>
          <t xml:space="preserve">0,32</t>
        </is>
      </c>
      <c r="P79" t="inlineStr">
        <is>
          <t xml:space="preserve">4816148152091</t>
        </is>
      </c>
      <c r="Q79" s="3" t="str">
        <f>HYPERLINK("https://modify.by/img/293259872/1.webp","фото")</f>
        <v>фото</v>
      </c>
      <c r="R79" s="3" t="str">
        <f>HYPERLINK("https://modify.by/catalog/bryuki/293259872/?utm_source=price&amp;utm_medium=xlsx","открыть")</f>
        <v>открыть</v>
      </c>
    </row>
    <row r="80">
      <c r="A80" t="inlineStr">
        <is>
          <t xml:space="preserve">Женский</t>
        </is>
      </c>
      <c r="B80" t="inlineStr">
        <is>
          <t xml:space="preserve">Брюки</t>
        </is>
      </c>
      <c r="C80" t="inlineStr">
        <is>
          <t xml:space="preserve">Брюки классические офисные зауженные дудочки, серый</t>
        </is>
      </c>
      <c r="D80" t="inlineStr">
        <is>
          <t xml:space="preserve">T3PA52W04серый</t>
        </is>
      </c>
      <c r="E80" t="inlineStr">
        <is>
          <t xml:space="preserve">серый</t>
        </is>
      </c>
      <c r="F80" t="inlineStr">
        <is>
          <t xml:space="preserve">52</t>
        </is>
      </c>
      <c r="G80">
        <v>1</v>
      </c>
      <c r="H80" s="2">
        <v>59.0</v>
      </c>
      <c r="I80" t="inlineStr">
        <is>
          <t xml:space="preserve">50% вискоза, 50% полиэстер</t>
        </is>
      </c>
      <c r="J80" t="inlineStr">
        <is>
          <t xml:space="preserve">демисезон</t>
        </is>
      </c>
      <c r="K80" t="inlineStr">
        <is>
          <t xml:space="preserve">Китай</t>
        </is>
      </c>
      <c r="L80" t="inlineStr">
        <is>
          <t xml:space="preserve">6204631800</t>
        </is>
      </c>
      <c r="M80" t="inlineStr">
        <is>
          <t xml:space="preserve">Декларация № ЕАЭС N RU Д-CN.РА02.В.44039/24, до 28.02.2029</t>
        </is>
      </c>
      <c r="N80" t="inlineStr">
        <is>
          <t xml:space="preserve">26 × 20 × 3</t>
        </is>
      </c>
      <c r="O80" t="inlineStr">
        <is>
          <t xml:space="preserve">0,32</t>
        </is>
      </c>
      <c r="P80" t="inlineStr">
        <is>
          <t xml:space="preserve">4816148152107</t>
        </is>
      </c>
      <c r="Q80" s="3" t="str">
        <f>HYPERLINK("https://modify.by/img/293259872/1.webp","фото")</f>
        <v>фото</v>
      </c>
      <c r="R80" s="3" t="str">
        <f>HYPERLINK("https://modify.by/catalog/bryuki/293259872/?utm_source=price&amp;utm_medium=xlsx","открыть")</f>
        <v>открыть</v>
      </c>
    </row>
    <row r="81">
      <c r="A81" t="inlineStr">
        <is>
          <t xml:space="preserve">Женский</t>
        </is>
      </c>
      <c r="B81" t="inlineStr">
        <is>
          <t xml:space="preserve">Брюки</t>
        </is>
      </c>
      <c r="C81" t="inlineStr">
        <is>
          <t xml:space="preserve">Брюки классические офисные зауженные дудочки, черный</t>
        </is>
      </c>
      <c r="D81" t="inlineStr">
        <is>
          <t xml:space="preserve">T3PA52W04черный</t>
        </is>
      </c>
      <c r="E81" t="inlineStr">
        <is>
          <t xml:space="preserve">черный</t>
        </is>
      </c>
      <c r="F81" t="inlineStr">
        <is>
          <t xml:space="preserve">52</t>
        </is>
      </c>
      <c r="G81">
        <v>1</v>
      </c>
      <c r="H81" s="2">
        <v>59.0</v>
      </c>
      <c r="I81" t="inlineStr">
        <is>
          <t xml:space="preserve">50% вискоза, 50% полиэстер</t>
        </is>
      </c>
      <c r="J81" t="inlineStr">
        <is>
          <t xml:space="preserve">демисезон</t>
        </is>
      </c>
      <c r="K81" t="inlineStr">
        <is>
          <t xml:space="preserve">Китай</t>
        </is>
      </c>
      <c r="L81" t="inlineStr">
        <is>
          <t xml:space="preserve">6204631800</t>
        </is>
      </c>
      <c r="M81" t="inlineStr">
        <is>
          <t xml:space="preserve">Декларация № ЕАЭС N RU Д-CN.РА02.В.44039/24, до 28.02.2029</t>
        </is>
      </c>
      <c r="N81" t="inlineStr">
        <is>
          <t xml:space="preserve">26 × 20 × 3</t>
        </is>
      </c>
      <c r="O81" t="inlineStr">
        <is>
          <t xml:space="preserve">0,32</t>
        </is>
      </c>
      <c r="P81" t="inlineStr">
        <is>
          <t xml:space="preserve">4816148152039</t>
        </is>
      </c>
      <c r="Q81" s="3" t="str">
        <f>HYPERLINK("https://modify.by/img/293259874/1.webp","фото")</f>
        <v>фото</v>
      </c>
      <c r="R81" s="3" t="str">
        <f>HYPERLINK("https://modify.by/catalog/bryuki/293259874/?utm_source=price&amp;utm_medium=xlsx","открыть")</f>
        <v>открыть</v>
      </c>
    </row>
    <row r="82">
      <c r="A82" t="inlineStr">
        <is>
          <t xml:space="preserve">Женский</t>
        </is>
      </c>
      <c r="B82" t="inlineStr">
        <is>
          <t xml:space="preserve">Брюки</t>
        </is>
      </c>
      <c r="C82" t="inlineStr">
        <is>
          <t xml:space="preserve">Брюки классические офисные зауженные дудочки, черный</t>
        </is>
      </c>
      <c r="D82" t="inlineStr">
        <is>
          <t xml:space="preserve">T3PA52W04черный</t>
        </is>
      </c>
      <c r="E82" t="inlineStr">
        <is>
          <t xml:space="preserve">черный</t>
        </is>
      </c>
      <c r="F82" t="inlineStr">
        <is>
          <t xml:space="preserve">54</t>
        </is>
      </c>
      <c r="G82">
        <v>1</v>
      </c>
      <c r="H82" s="2">
        <v>59.0</v>
      </c>
      <c r="I82" t="inlineStr">
        <is>
          <t xml:space="preserve">50% вискоза, 50% полиэстер</t>
        </is>
      </c>
      <c r="J82" t="inlineStr">
        <is>
          <t xml:space="preserve">демисезон</t>
        </is>
      </c>
      <c r="K82" t="inlineStr">
        <is>
          <t xml:space="preserve">Китай</t>
        </is>
      </c>
      <c r="L82" t="inlineStr">
        <is>
          <t xml:space="preserve">6204631800</t>
        </is>
      </c>
      <c r="M82" t="inlineStr">
        <is>
          <t xml:space="preserve">Декларация № ЕАЭС N RU Д-CN.РА02.В.44039/24, до 28.02.2029</t>
        </is>
      </c>
      <c r="N82" t="inlineStr">
        <is>
          <t xml:space="preserve">26 × 20 × 3</t>
        </is>
      </c>
      <c r="O82" t="inlineStr">
        <is>
          <t xml:space="preserve">0,32</t>
        </is>
      </c>
      <c r="P82" t="inlineStr">
        <is>
          <t xml:space="preserve">4816148152046</t>
        </is>
      </c>
      <c r="Q82" s="3" t="str">
        <f>HYPERLINK("https://modify.by/img/293259874/1.webp","фото")</f>
        <v>фото</v>
      </c>
      <c r="R82" s="3" t="str">
        <f>HYPERLINK("https://modify.by/catalog/bryuki/293259874/?utm_source=price&amp;utm_medium=xlsx","открыть")</f>
        <v>открыть</v>
      </c>
    </row>
    <row r="83">
      <c r="A83" t="inlineStr">
        <is>
          <t xml:space="preserve">Женский</t>
        </is>
      </c>
      <c r="B83" t="inlineStr">
        <is>
          <t xml:space="preserve">Брюки</t>
        </is>
      </c>
      <c r="C83" t="inlineStr">
        <is>
          <t xml:space="preserve">Брюки классические чиносы летние хлопок</t>
        </is>
      </c>
      <c r="D83" t="inlineStr">
        <is>
          <t xml:space="preserve">PA62W06белый_песок</t>
        </is>
      </c>
      <c r="E83" t="inlineStr">
        <is>
          <t xml:space="preserve">белый песок</t>
        </is>
      </c>
      <c r="F83" t="inlineStr">
        <is>
          <t xml:space="preserve">48</t>
        </is>
      </c>
      <c r="G83">
        <v>1</v>
      </c>
      <c r="H83" s="2">
        <v>37.0</v>
      </c>
      <c r="I83" t="inlineStr">
        <is>
          <t xml:space="preserve">98% хлопок, 2% эластан</t>
        </is>
      </c>
      <c r="J83" t="inlineStr">
        <is>
          <t xml:space="preserve">демисезон</t>
        </is>
      </c>
      <c r="K83" t="inlineStr">
        <is>
          <t xml:space="preserve">Бангладеш</t>
        </is>
      </c>
      <c r="L83" t="inlineStr">
        <is>
          <t xml:space="preserve">6204623900</t>
        </is>
      </c>
      <c r="M83" t="inlineStr">
        <is>
          <t xml:space="preserve">Декларация № ЕАЭС № BY/112 11.01. ТР017 122.01 08246, до 19.04.2028</t>
        </is>
      </c>
      <c r="N83" t="inlineStr">
        <is>
          <t xml:space="preserve">27 × 20 × 3</t>
        </is>
      </c>
      <c r="O83" t="inlineStr">
        <is>
          <t xml:space="preserve">0,4</t>
        </is>
      </c>
      <c r="P83" t="inlineStr">
        <is>
          <t xml:space="preserve">4816148181121</t>
        </is>
      </c>
      <c r="Q83" s="3" t="str">
        <f>HYPERLINK("https://modify.by/img/919247784/1.webp","фото")</f>
        <v>фото</v>
      </c>
      <c r="R83" s="3" t="str">
        <f>HYPERLINK("https://modify.by/catalog/bryuki/919247784/?utm_source=price&amp;utm_medium=xlsx","открыть")</f>
        <v>открыть</v>
      </c>
    </row>
    <row r="84">
      <c r="A84" t="inlineStr">
        <is>
          <t xml:space="preserve">Женский</t>
        </is>
      </c>
      <c r="B84" t="inlineStr">
        <is>
          <t xml:space="preserve">Брюки</t>
        </is>
      </c>
      <c r="C84" t="inlineStr">
        <is>
          <t xml:space="preserve">Брюки классические чиносы хлопок большие размеры, белый песок</t>
        </is>
      </c>
      <c r="D84" t="inlineStr">
        <is>
          <t xml:space="preserve">PA62W06_big_белый песок</t>
        </is>
      </c>
      <c r="E84" t="inlineStr">
        <is>
          <t xml:space="preserve">белый песок</t>
        </is>
      </c>
      <c r="F84" t="inlineStr">
        <is>
          <t xml:space="preserve">62</t>
        </is>
      </c>
      <c r="G84">
        <v>10</v>
      </c>
      <c r="H84" s="2">
        <v>37.0</v>
      </c>
      <c r="I84" t="inlineStr">
        <is>
          <t xml:space="preserve">98% хлопок, 2% эластан</t>
        </is>
      </c>
      <c r="J84" t="inlineStr">
        <is>
          <t xml:space="preserve">демисезон</t>
        </is>
      </c>
      <c r="K84" t="inlineStr">
        <is>
          <t xml:space="preserve">Бангладеш</t>
        </is>
      </c>
      <c r="L84" t="inlineStr">
        <is>
          <t xml:space="preserve">6204623900</t>
        </is>
      </c>
      <c r="M84" t="inlineStr">
        <is>
          <t xml:space="preserve">Декларация № ЕАЭС № BY/112 11.01. ТР017 122.01 08246, до 19.04.2028</t>
        </is>
      </c>
      <c r="N84" t="inlineStr">
        <is>
          <t xml:space="preserve">30 × 22 × 3</t>
        </is>
      </c>
      <c r="O84" t="inlineStr">
        <is>
          <t xml:space="preserve">0,43</t>
        </is>
      </c>
      <c r="P84" t="inlineStr">
        <is>
          <t xml:space="preserve">4816148181190</t>
        </is>
      </c>
      <c r="Q84" s="3" t="str">
        <f>HYPERLINK("https://modify.by/img/931376777/1.webp","фото")</f>
        <v>фото</v>
      </c>
      <c r="R84" s="3" t="str">
        <f>HYPERLINK("https://modify.by/catalog/bryuki/931376777/?utm_source=price&amp;utm_medium=xlsx","открыть")</f>
        <v>открыть</v>
      </c>
    </row>
    <row r="85">
      <c r="A85" t="inlineStr">
        <is>
          <t xml:space="preserve">Женский</t>
        </is>
      </c>
      <c r="B85" t="inlineStr">
        <is>
          <t xml:space="preserve">Брюки</t>
        </is>
      </c>
      <c r="C85" t="inlineStr">
        <is>
          <t xml:space="preserve">Брюки классические чиносы хлопок большие размеры, нежная мята</t>
        </is>
      </c>
      <c r="D85" t="inlineStr">
        <is>
          <t xml:space="preserve">PA62W06_big_светлая_мята</t>
        </is>
      </c>
      <c r="E85" t="inlineStr">
        <is>
          <t xml:space="preserve">нежная мята</t>
        </is>
      </c>
      <c r="F85" t="inlineStr">
        <is>
          <t xml:space="preserve">52</t>
        </is>
      </c>
      <c r="G85">
        <v>1</v>
      </c>
      <c r="H85" s="2">
        <v>37.0</v>
      </c>
      <c r="I85" t="inlineStr">
        <is>
          <t xml:space="preserve">98% хлопок, 2% эластан</t>
        </is>
      </c>
      <c r="J85" t="inlineStr">
        <is>
          <t xml:space="preserve">демисезон</t>
        </is>
      </c>
      <c r="K85" t="inlineStr">
        <is>
          <t xml:space="preserve">Бангладеш</t>
        </is>
      </c>
      <c r="L85" t="inlineStr">
        <is>
          <t xml:space="preserve">6204623900</t>
        </is>
      </c>
      <c r="M85" t="inlineStr">
        <is>
          <t xml:space="preserve">Декларация № ЕАЭС № BY/112 11.01. ТР017 122.01 08246, до 19.04.2028</t>
        </is>
      </c>
      <c r="N85" t="inlineStr">
        <is>
          <t xml:space="preserve">30 × 22 × 3</t>
        </is>
      </c>
      <c r="O85" t="inlineStr">
        <is>
          <t xml:space="preserve">0,43</t>
        </is>
      </c>
      <c r="P85" t="inlineStr">
        <is>
          <t xml:space="preserve">4816148180940</t>
        </is>
      </c>
      <c r="Q85" s="3" t="str">
        <f>HYPERLINK("https://modify.by/img/903057622/1.webp","фото")</f>
        <v>фото</v>
      </c>
      <c r="R85" s="3" t="str">
        <f>HYPERLINK("https://modify.by/catalog/bryuki/903057622/?utm_source=price&amp;utm_medium=xlsx","открыть")</f>
        <v>открыть</v>
      </c>
    </row>
    <row r="86">
      <c r="A86" t="inlineStr">
        <is>
          <t xml:space="preserve">Женский</t>
        </is>
      </c>
      <c r="B86" t="inlineStr">
        <is>
          <t xml:space="preserve">Брюки</t>
        </is>
      </c>
      <c r="C86" t="inlineStr">
        <is>
          <t xml:space="preserve">Брюки клеш классические</t>
        </is>
      </c>
      <c r="D86" t="inlineStr">
        <is>
          <t xml:space="preserve">PA442W1/5темно-зеленый</t>
        </is>
      </c>
      <c r="E86" t="inlineStr">
        <is>
          <t xml:space="preserve">темно-зеленый</t>
        </is>
      </c>
      <c r="F86" t="inlineStr">
        <is>
          <t xml:space="preserve">42</t>
        </is>
      </c>
      <c r="G86">
        <v>1</v>
      </c>
      <c r="H86" s="2">
        <v>70.0</v>
      </c>
      <c r="I86" t="inlineStr">
        <is>
          <t xml:space="preserve">100% полиэстер</t>
        </is>
      </c>
      <c r="J86" t="inlineStr">
        <is>
          <t xml:space="preserve">Круглогодичный</t>
        </is>
      </c>
      <c r="K86" t="inlineStr">
        <is>
          <t xml:space="preserve">Турция</t>
        </is>
      </c>
      <c r="L86" t="inlineStr">
        <is>
          <t xml:space="preserve">6204631800</t>
        </is>
      </c>
      <c r="M86" t="inlineStr">
        <is>
          <t xml:space="preserve">по запросу</t>
        </is>
      </c>
      <c r="N86" t="inlineStr">
        <is>
          <t xml:space="preserve">29 × 37 × 2</t>
        </is>
      </c>
      <c r="O86" t="inlineStr">
        <is>
          <t xml:space="preserve">0,45</t>
        </is>
      </c>
      <c r="P86" t="inlineStr">
        <is>
          <t xml:space="preserve">4816148114280</t>
        </is>
      </c>
      <c r="Q86" s="3" t="str">
        <f>HYPERLINK("https://modify.by/img/248213308/1.webp","фото")</f>
        <v>фото</v>
      </c>
      <c r="R86" s="3" t="str">
        <f>HYPERLINK("https://modify.by/catalog/bryuki/248213308/?utm_source=price&amp;utm_medium=xlsx","открыть")</f>
        <v>открыть</v>
      </c>
    </row>
    <row r="87">
      <c r="A87" t="inlineStr">
        <is>
          <t xml:space="preserve">Женский</t>
        </is>
      </c>
      <c r="B87" t="inlineStr">
        <is>
          <t xml:space="preserve">Брюки</t>
        </is>
      </c>
      <c r="C87" t="inlineStr">
        <is>
          <t xml:space="preserve">Брюки легкие домашние на резинке хлопок</t>
        </is>
      </c>
      <c r="D87" t="inlineStr">
        <is>
          <t xml:space="preserve">PA42W03хаки</t>
        </is>
      </c>
      <c r="E87" t="inlineStr">
        <is>
          <t xml:space="preserve">хаки</t>
        </is>
      </c>
      <c r="F87" t="inlineStr">
        <is>
          <t xml:space="preserve">44</t>
        </is>
      </c>
      <c r="G87">
        <v>12</v>
      </c>
      <c r="H87" s="2">
        <v>25.0</v>
      </c>
      <c r="I87" t="inlineStr">
        <is>
          <t xml:space="preserve">хлопок 100%</t>
        </is>
      </c>
      <c r="J87" t="inlineStr">
        <is>
          <t xml:space="preserve">демисезон</t>
        </is>
      </c>
      <c r="K87" t="inlineStr">
        <is>
          <t xml:space="preserve">Бангладеш</t>
        </is>
      </c>
      <c r="L87" t="inlineStr">
        <is>
          <t xml:space="preserve">6204623900</t>
        </is>
      </c>
      <c r="M87" t="inlineStr">
        <is>
          <t xml:space="preserve">Декларация № ЕАЭС № BY/112 11.01. ТР017 122.01 08246, до 19.04.2028</t>
        </is>
      </c>
      <c r="N87" t="inlineStr">
        <is>
          <t xml:space="preserve">32 × 25 × 2</t>
        </is>
      </c>
      <c r="O87" t="inlineStr">
        <is>
          <t xml:space="preserve">0,36</t>
        </is>
      </c>
      <c r="P87" t="inlineStr">
        <is>
          <t xml:space="preserve">4816148101167</t>
        </is>
      </c>
      <c r="Q87" s="3" t="str">
        <f>HYPERLINK("https://modify.by/img/234681642/1.webp","фото")</f>
        <v>фото</v>
      </c>
      <c r="R87" s="3" t="str">
        <f>HYPERLINK("https://modify.by/catalog/bryuki/234681642/?utm_source=price&amp;utm_medium=xlsx","открыть")</f>
        <v>открыть</v>
      </c>
    </row>
    <row r="88">
      <c r="A88" t="inlineStr">
        <is>
          <t xml:space="preserve">Женский</t>
        </is>
      </c>
      <c r="B88" t="inlineStr">
        <is>
          <t xml:space="preserve">Брюки</t>
        </is>
      </c>
      <c r="C88" t="inlineStr">
        <is>
          <t xml:space="preserve">Брюки легкие домашние на резинке хлопок</t>
        </is>
      </c>
      <c r="D88" t="inlineStr">
        <is>
          <t xml:space="preserve">PA42W03хаки</t>
        </is>
      </c>
      <c r="E88" t="inlineStr">
        <is>
          <t xml:space="preserve">хаки</t>
        </is>
      </c>
      <c r="F88" t="inlineStr">
        <is>
          <t xml:space="preserve">46</t>
        </is>
      </c>
      <c r="G88">
        <v>19</v>
      </c>
      <c r="H88" s="2">
        <v>25.0</v>
      </c>
      <c r="I88" t="inlineStr">
        <is>
          <t xml:space="preserve">хлопок 100%</t>
        </is>
      </c>
      <c r="J88" t="inlineStr">
        <is>
          <t xml:space="preserve">демисезон</t>
        </is>
      </c>
      <c r="K88" t="inlineStr">
        <is>
          <t xml:space="preserve">Бангладеш</t>
        </is>
      </c>
      <c r="L88" t="inlineStr">
        <is>
          <t xml:space="preserve">6204623900</t>
        </is>
      </c>
      <c r="M88" t="inlineStr">
        <is>
          <t xml:space="preserve">Декларация № ЕАЭС № BY/112 11.01. ТР017 122.01 08246, до 19.04.2028</t>
        </is>
      </c>
      <c r="N88" t="inlineStr">
        <is>
          <t xml:space="preserve">32 × 25 × 2</t>
        </is>
      </c>
      <c r="O88" t="inlineStr">
        <is>
          <t xml:space="preserve">0,36</t>
        </is>
      </c>
      <c r="P88" t="inlineStr">
        <is>
          <t xml:space="preserve">4816148101174</t>
        </is>
      </c>
      <c r="Q88" s="3" t="str">
        <f>HYPERLINK("https://modify.by/img/234681642/1.webp","фото")</f>
        <v>фото</v>
      </c>
      <c r="R88" s="3" t="str">
        <f>HYPERLINK("https://modify.by/catalog/bryuki/234681642/?utm_source=price&amp;utm_medium=xlsx","открыть")</f>
        <v>открыть</v>
      </c>
    </row>
    <row r="89">
      <c r="A89" t="inlineStr">
        <is>
          <t xml:space="preserve">Женский</t>
        </is>
      </c>
      <c r="B89" t="inlineStr">
        <is>
          <t xml:space="preserve">Брюки</t>
        </is>
      </c>
      <c r="C89" t="inlineStr">
        <is>
          <t xml:space="preserve">Брюки легкие домашние на резинке хлопок</t>
        </is>
      </c>
      <c r="D89" t="inlineStr">
        <is>
          <t xml:space="preserve">PA42W03хаки</t>
        </is>
      </c>
      <c r="E89" t="inlineStr">
        <is>
          <t xml:space="preserve">хаки</t>
        </is>
      </c>
      <c r="F89" t="inlineStr">
        <is>
          <t xml:space="preserve">48</t>
        </is>
      </c>
      <c r="G89">
        <v>24</v>
      </c>
      <c r="H89" s="2">
        <v>25.0</v>
      </c>
      <c r="I89" t="inlineStr">
        <is>
          <t xml:space="preserve">хлопок 100%</t>
        </is>
      </c>
      <c r="J89" t="inlineStr">
        <is>
          <t xml:space="preserve">демисезон</t>
        </is>
      </c>
      <c r="K89" t="inlineStr">
        <is>
          <t xml:space="preserve">Бангладеш</t>
        </is>
      </c>
      <c r="L89" t="inlineStr">
        <is>
          <t xml:space="preserve">6204623900</t>
        </is>
      </c>
      <c r="M89" t="inlineStr">
        <is>
          <t xml:space="preserve">Декларация № ЕАЭС № BY/112 11.01. ТР017 122.01 08246, до 19.04.2028</t>
        </is>
      </c>
      <c r="N89" t="inlineStr">
        <is>
          <t xml:space="preserve">32 × 25 × 2</t>
        </is>
      </c>
      <c r="O89" t="inlineStr">
        <is>
          <t xml:space="preserve">0,36</t>
        </is>
      </c>
      <c r="P89" t="inlineStr">
        <is>
          <t xml:space="preserve">4816148101181</t>
        </is>
      </c>
      <c r="Q89" s="3" t="str">
        <f>HYPERLINK("https://modify.by/img/234681642/1.webp","фото")</f>
        <v>фото</v>
      </c>
      <c r="R89" s="3" t="str">
        <f>HYPERLINK("https://modify.by/catalog/bryuki/234681642/?utm_source=price&amp;utm_medium=xlsx","открыть")</f>
        <v>открыть</v>
      </c>
    </row>
    <row r="90">
      <c r="A90" t="inlineStr">
        <is>
          <t xml:space="preserve">Женский</t>
        </is>
      </c>
      <c r="B90" t="inlineStr">
        <is>
          <t xml:space="preserve">Брюки</t>
        </is>
      </c>
      <c r="C90" t="inlineStr">
        <is>
          <t xml:space="preserve">Брюки летние палаццо легкие немнущиеся, белый</t>
        </is>
      </c>
      <c r="D90" t="inlineStr">
        <is>
          <t xml:space="preserve">PA52W03Белый</t>
        </is>
      </c>
      <c r="E90" t="inlineStr">
        <is>
          <t xml:space="preserve">белый</t>
        </is>
      </c>
      <c r="F90" t="inlineStr">
        <is>
          <t xml:space="preserve">46</t>
        </is>
      </c>
      <c r="G90">
        <v>7</v>
      </c>
      <c r="H90" s="2">
        <v>46.0</v>
      </c>
      <c r="I90" t="inlineStr">
        <is>
          <t xml:space="preserve">60% хлопок, 35% полиэфирные волокна, 5% эластан</t>
        </is>
      </c>
      <c r="J90" t="inlineStr">
        <is>
          <t xml:space="preserve">лето</t>
        </is>
      </c>
      <c r="K90" t="inlineStr">
        <is>
          <t xml:space="preserve">Бангладеш</t>
        </is>
      </c>
      <c r="L90" t="inlineStr">
        <is>
          <t xml:space="preserve">6204623900</t>
        </is>
      </c>
      <c r="M90" t="inlineStr">
        <is>
          <t xml:space="preserve">Декларация № ЕАЭС № BY/112 11.01. ТР017 122.01 08246, до 19.04.2028</t>
        </is>
      </c>
      <c r="N90" t="inlineStr">
        <is>
          <t xml:space="preserve">35 × 30 × 3</t>
        </is>
      </c>
      <c r="O90" t="inlineStr">
        <is>
          <t xml:space="preserve">0,4</t>
        </is>
      </c>
      <c r="P90" t="inlineStr">
        <is>
          <t xml:space="preserve">4816148157560</t>
        </is>
      </c>
      <c r="Q90" s="3" t="str">
        <f>HYPERLINK("https://modify.by/img/348649926/1.webp","фото")</f>
        <v>фото</v>
      </c>
      <c r="R90" s="3" t="str">
        <f>HYPERLINK("https://modify.by/catalog/bryuki/348649926/?utm_source=price&amp;utm_medium=xlsx","открыть")</f>
        <v>открыть</v>
      </c>
    </row>
    <row r="91">
      <c r="A91" t="inlineStr">
        <is>
          <t xml:space="preserve">Женский</t>
        </is>
      </c>
      <c r="B91" t="inlineStr">
        <is>
          <t xml:space="preserve">Брюки</t>
        </is>
      </c>
      <c r="C91" t="inlineStr">
        <is>
          <t xml:space="preserve">Брюки летние палаццо легкие немнущиеся, белый</t>
        </is>
      </c>
      <c r="D91" t="inlineStr">
        <is>
          <t xml:space="preserve">PA52W03Белый</t>
        </is>
      </c>
      <c r="E91" t="inlineStr">
        <is>
          <t xml:space="preserve">белый</t>
        </is>
      </c>
      <c r="F91" t="inlineStr">
        <is>
          <t xml:space="preserve">48</t>
        </is>
      </c>
      <c r="G91">
        <v>21</v>
      </c>
      <c r="H91" s="2">
        <v>46.0</v>
      </c>
      <c r="I91" t="inlineStr">
        <is>
          <t xml:space="preserve">60% хлопок, 35% полиэфирные волокна, 5% эластан</t>
        </is>
      </c>
      <c r="J91" t="inlineStr">
        <is>
          <t xml:space="preserve">лето</t>
        </is>
      </c>
      <c r="K91" t="inlineStr">
        <is>
          <t xml:space="preserve">Бангладеш</t>
        </is>
      </c>
      <c r="L91" t="inlineStr">
        <is>
          <t xml:space="preserve">6204623900</t>
        </is>
      </c>
      <c r="M91" t="inlineStr">
        <is>
          <t xml:space="preserve">Декларация № ЕАЭС № BY/112 11.01. ТР017 122.01 08246, до 19.04.2028</t>
        </is>
      </c>
      <c r="N91" t="inlineStr">
        <is>
          <t xml:space="preserve">35 × 30 × 3</t>
        </is>
      </c>
      <c r="O91" t="inlineStr">
        <is>
          <t xml:space="preserve">0,4</t>
        </is>
      </c>
      <c r="P91" t="inlineStr">
        <is>
          <t xml:space="preserve">4816148157577</t>
        </is>
      </c>
      <c r="Q91" s="3" t="str">
        <f>HYPERLINK("https://modify.by/img/348649926/1.webp","фото")</f>
        <v>фото</v>
      </c>
      <c r="R91" s="3" t="str">
        <f>HYPERLINK("https://modify.by/catalog/bryuki/348649926/?utm_source=price&amp;utm_medium=xlsx","открыть")</f>
        <v>открыть</v>
      </c>
    </row>
    <row r="92">
      <c r="A92" t="inlineStr">
        <is>
          <t xml:space="preserve">Женский</t>
        </is>
      </c>
      <c r="B92" t="inlineStr">
        <is>
          <t xml:space="preserve">Брюки</t>
        </is>
      </c>
      <c r="C92" t="inlineStr">
        <is>
          <t xml:space="preserve">Брюки летние палаццо легкие немнущиеся, белый</t>
        </is>
      </c>
      <c r="D92" t="inlineStr">
        <is>
          <t xml:space="preserve">PA52W03Белый</t>
        </is>
      </c>
      <c r="E92" t="inlineStr">
        <is>
          <t xml:space="preserve">белый</t>
        </is>
      </c>
      <c r="F92" t="inlineStr">
        <is>
          <t xml:space="preserve">50</t>
        </is>
      </c>
      <c r="G92">
        <v>43</v>
      </c>
      <c r="H92" s="2">
        <v>46.0</v>
      </c>
      <c r="I92" t="inlineStr">
        <is>
          <t xml:space="preserve">60% хлопок, 35% полиэфирные волокна, 5% эластан</t>
        </is>
      </c>
      <c r="J92" t="inlineStr">
        <is>
          <t xml:space="preserve">лето</t>
        </is>
      </c>
      <c r="K92" t="inlineStr">
        <is>
          <t xml:space="preserve">Бангладеш</t>
        </is>
      </c>
      <c r="L92" t="inlineStr">
        <is>
          <t xml:space="preserve">6204623900</t>
        </is>
      </c>
      <c r="M92" t="inlineStr">
        <is>
          <t xml:space="preserve">Декларация № ЕАЭС № BY/112 11.01. ТР017 122.01 08246, до 19.04.2028</t>
        </is>
      </c>
      <c r="N92" t="inlineStr">
        <is>
          <t xml:space="preserve">35 × 30 × 3</t>
        </is>
      </c>
      <c r="O92" t="inlineStr">
        <is>
          <t xml:space="preserve">0,4</t>
        </is>
      </c>
      <c r="P92" t="inlineStr">
        <is>
          <t xml:space="preserve">4816148157584</t>
        </is>
      </c>
      <c r="Q92" s="3" t="str">
        <f>HYPERLINK("https://modify.by/img/348649926/1.webp","фото")</f>
        <v>фото</v>
      </c>
      <c r="R92" s="3" t="str">
        <f>HYPERLINK("https://modify.by/catalog/bryuki/348649926/?utm_source=price&amp;utm_medium=xlsx","открыть")</f>
        <v>открыть</v>
      </c>
    </row>
    <row r="93">
      <c r="A93" t="inlineStr">
        <is>
          <t xml:space="preserve">Женский</t>
        </is>
      </c>
      <c r="B93" t="inlineStr">
        <is>
          <t xml:space="preserve">Брюки</t>
        </is>
      </c>
      <c r="C93" t="inlineStr">
        <is>
          <t xml:space="preserve">Брюки летние палаццо легкие немнущиеся, белый</t>
        </is>
      </c>
      <c r="D93" t="inlineStr">
        <is>
          <t xml:space="preserve">PA52W03Белый</t>
        </is>
      </c>
      <c r="E93" t="inlineStr">
        <is>
          <t xml:space="preserve">белый</t>
        </is>
      </c>
      <c r="F93" t="inlineStr">
        <is>
          <t xml:space="preserve">52</t>
        </is>
      </c>
      <c r="G93">
        <v>59</v>
      </c>
      <c r="H93" s="2">
        <v>46.0</v>
      </c>
      <c r="I93" t="inlineStr">
        <is>
          <t xml:space="preserve">60% хлопок, 35% полиэфирные волокна, 5% эластан</t>
        </is>
      </c>
      <c r="J93" t="inlineStr">
        <is>
          <t xml:space="preserve">лето</t>
        </is>
      </c>
      <c r="K93" t="inlineStr">
        <is>
          <t xml:space="preserve">Бангладеш</t>
        </is>
      </c>
      <c r="L93" t="inlineStr">
        <is>
          <t xml:space="preserve">6204623900</t>
        </is>
      </c>
      <c r="M93" t="inlineStr">
        <is>
          <t xml:space="preserve">Декларация № ЕАЭС № BY/112 11.01. ТР017 122.01 08246, до 19.04.2028</t>
        </is>
      </c>
      <c r="N93" t="inlineStr">
        <is>
          <t xml:space="preserve">35 × 30 × 3</t>
        </is>
      </c>
      <c r="O93" t="inlineStr">
        <is>
          <t xml:space="preserve">0,4</t>
        </is>
      </c>
      <c r="P93" t="inlineStr">
        <is>
          <t xml:space="preserve">4816148157591</t>
        </is>
      </c>
      <c r="Q93" s="3" t="str">
        <f>HYPERLINK("https://modify.by/img/348649926/1.webp","фото")</f>
        <v>фото</v>
      </c>
      <c r="R93" s="3" t="str">
        <f>HYPERLINK("https://modify.by/catalog/bryuki/348649926/?utm_source=price&amp;utm_medium=xlsx","открыть")</f>
        <v>открыть</v>
      </c>
    </row>
    <row r="94">
      <c r="A94" t="inlineStr">
        <is>
          <t xml:space="preserve">Женский</t>
        </is>
      </c>
      <c r="B94" t="inlineStr">
        <is>
          <t xml:space="preserve">Брюки</t>
        </is>
      </c>
      <c r="C94" t="inlineStr">
        <is>
          <t xml:space="preserve">Брюки летние палаццо легкие немнущиеся, белый</t>
        </is>
      </c>
      <c r="D94" t="inlineStr">
        <is>
          <t xml:space="preserve">PA52W03Белый</t>
        </is>
      </c>
      <c r="E94" t="inlineStr">
        <is>
          <t xml:space="preserve">белый</t>
        </is>
      </c>
      <c r="F94" t="inlineStr">
        <is>
          <t xml:space="preserve">54</t>
        </is>
      </c>
      <c r="G94">
        <v>36</v>
      </c>
      <c r="H94" s="2">
        <v>46.0</v>
      </c>
      <c r="I94" t="inlineStr">
        <is>
          <t xml:space="preserve">60% хлопок, 35% полиэфирные волокна, 5% эластан</t>
        </is>
      </c>
      <c r="J94" t="inlineStr">
        <is>
          <t xml:space="preserve">лето</t>
        </is>
      </c>
      <c r="K94" t="inlineStr">
        <is>
          <t xml:space="preserve">Бангладеш</t>
        </is>
      </c>
      <c r="L94" t="inlineStr">
        <is>
          <t xml:space="preserve">6204623900</t>
        </is>
      </c>
      <c r="M94" t="inlineStr">
        <is>
          <t xml:space="preserve">Декларация № ЕАЭС № BY/112 11.01. ТР017 122.01 08246, до 19.04.2028</t>
        </is>
      </c>
      <c r="N94" t="inlineStr">
        <is>
          <t xml:space="preserve">35 × 30 × 3</t>
        </is>
      </c>
      <c r="O94" t="inlineStr">
        <is>
          <t xml:space="preserve">0,4</t>
        </is>
      </c>
      <c r="P94" t="inlineStr">
        <is>
          <t xml:space="preserve">4816148157607</t>
        </is>
      </c>
      <c r="Q94" s="3" t="str">
        <f>HYPERLINK("https://modify.by/img/348649926/1.webp","фото")</f>
        <v>фото</v>
      </c>
      <c r="R94" s="3" t="str">
        <f>HYPERLINK("https://modify.by/catalog/bryuki/348649926/?utm_source=price&amp;utm_medium=xlsx","открыть")</f>
        <v>открыть</v>
      </c>
    </row>
    <row r="95">
      <c r="A95" t="inlineStr">
        <is>
          <t xml:space="preserve">Женский</t>
        </is>
      </c>
      <c r="B95" t="inlineStr">
        <is>
          <t xml:space="preserve">Брюки</t>
        </is>
      </c>
      <c r="C95" t="inlineStr">
        <is>
          <t xml:space="preserve">Брюки летние палаццо легкие немнущиеся, голубой</t>
        </is>
      </c>
      <c r="D95" t="inlineStr">
        <is>
          <t xml:space="preserve">PA52W03Голубой</t>
        </is>
      </c>
      <c r="E95" t="inlineStr">
        <is>
          <t xml:space="preserve">голубой</t>
        </is>
      </c>
      <c r="F95" t="inlineStr">
        <is>
          <t xml:space="preserve">48</t>
        </is>
      </c>
      <c r="G95">
        <v>43</v>
      </c>
      <c r="H95" s="2">
        <v>46.0</v>
      </c>
      <c r="I95" t="inlineStr">
        <is>
          <t xml:space="preserve">60% хлопок, 30% полиэфирные волокна, 5% эластан</t>
        </is>
      </c>
      <c r="J95" t="inlineStr">
        <is>
          <t xml:space="preserve">лето</t>
        </is>
      </c>
      <c r="K95" t="inlineStr">
        <is>
          <t xml:space="preserve">Бангладеш</t>
        </is>
      </c>
      <c r="L95" t="inlineStr">
        <is>
          <t xml:space="preserve">6204623900</t>
        </is>
      </c>
      <c r="M95" t="inlineStr">
        <is>
          <t xml:space="preserve">Декларация № ЕАЭС № BY/112 11.01. ТР017 122.01 08246, до 19.04.2028</t>
        </is>
      </c>
      <c r="N95" t="inlineStr">
        <is>
          <t xml:space="preserve">35 × 30 × 3</t>
        </is>
      </c>
      <c r="O95" t="inlineStr">
        <is>
          <t xml:space="preserve">0,4</t>
        </is>
      </c>
      <c r="P95" t="inlineStr">
        <is>
          <t xml:space="preserve">4816148157515</t>
        </is>
      </c>
      <c r="Q95" s="3" t="str">
        <f>HYPERLINK("https://modify.by/img/348649925/1.webp","фото")</f>
        <v>фото</v>
      </c>
      <c r="R95" s="3" t="str">
        <f>HYPERLINK("https://modify.by/catalog/bryuki/348649925/?utm_source=price&amp;utm_medium=xlsx","открыть")</f>
        <v>открыть</v>
      </c>
    </row>
    <row r="96">
      <c r="A96" t="inlineStr">
        <is>
          <t xml:space="preserve">Женский</t>
        </is>
      </c>
      <c r="B96" t="inlineStr">
        <is>
          <t xml:space="preserve">Брюки</t>
        </is>
      </c>
      <c r="C96" t="inlineStr">
        <is>
          <t xml:space="preserve">Брюки летние палаццо легкие немнущиеся, голубой</t>
        </is>
      </c>
      <c r="D96" t="inlineStr">
        <is>
          <t xml:space="preserve">PA52W03Голубой</t>
        </is>
      </c>
      <c r="E96" t="inlineStr">
        <is>
          <t xml:space="preserve">голубой</t>
        </is>
      </c>
      <c r="F96" t="inlineStr">
        <is>
          <t xml:space="preserve">50</t>
        </is>
      </c>
      <c r="G96">
        <v>27</v>
      </c>
      <c r="H96" s="2">
        <v>46.0</v>
      </c>
      <c r="I96" t="inlineStr">
        <is>
          <t xml:space="preserve">60% хлопок, 30% полиэфирные волокна, 5% эластан</t>
        </is>
      </c>
      <c r="J96" t="inlineStr">
        <is>
          <t xml:space="preserve">лето</t>
        </is>
      </c>
      <c r="K96" t="inlineStr">
        <is>
          <t xml:space="preserve">Бангладеш</t>
        </is>
      </c>
      <c r="L96" t="inlineStr">
        <is>
          <t xml:space="preserve">6204623900</t>
        </is>
      </c>
      <c r="M96" t="inlineStr">
        <is>
          <t xml:space="preserve">Декларация № ЕАЭС № BY/112 11.01. ТР017 122.01 08246, до 19.04.2028</t>
        </is>
      </c>
      <c r="N96" t="inlineStr">
        <is>
          <t xml:space="preserve">35 × 30 × 3</t>
        </is>
      </c>
      <c r="O96" t="inlineStr">
        <is>
          <t xml:space="preserve">0,4</t>
        </is>
      </c>
      <c r="P96" t="inlineStr">
        <is>
          <t xml:space="preserve">4816148157522</t>
        </is>
      </c>
      <c r="Q96" s="3" t="str">
        <f>HYPERLINK("https://modify.by/img/348649925/1.webp","фото")</f>
        <v>фото</v>
      </c>
      <c r="R96" s="3" t="str">
        <f>HYPERLINK("https://modify.by/catalog/bryuki/348649925/?utm_source=price&amp;utm_medium=xlsx","открыть")</f>
        <v>открыть</v>
      </c>
    </row>
    <row r="97">
      <c r="A97" t="inlineStr">
        <is>
          <t xml:space="preserve">Женский</t>
        </is>
      </c>
      <c r="B97" t="inlineStr">
        <is>
          <t xml:space="preserve">Брюки</t>
        </is>
      </c>
      <c r="C97" t="inlineStr">
        <is>
          <t xml:space="preserve">Брюки летние палаццо легкие немнущиеся, голубой</t>
        </is>
      </c>
      <c r="D97" t="inlineStr">
        <is>
          <t xml:space="preserve">PA52W03Голубой</t>
        </is>
      </c>
      <c r="E97" t="inlineStr">
        <is>
          <t xml:space="preserve">голубой</t>
        </is>
      </c>
      <c r="F97" t="inlineStr">
        <is>
          <t xml:space="preserve">52</t>
        </is>
      </c>
      <c r="G97">
        <v>45</v>
      </c>
      <c r="H97" s="2">
        <v>46.0</v>
      </c>
      <c r="I97" t="inlineStr">
        <is>
          <t xml:space="preserve">60% хлопок, 30% полиэфирные волокна, 5% эластан</t>
        </is>
      </c>
      <c r="J97" t="inlineStr">
        <is>
          <t xml:space="preserve">лето</t>
        </is>
      </c>
      <c r="K97" t="inlineStr">
        <is>
          <t xml:space="preserve">Бангладеш</t>
        </is>
      </c>
      <c r="L97" t="inlineStr">
        <is>
          <t xml:space="preserve">6204623900</t>
        </is>
      </c>
      <c r="M97" t="inlineStr">
        <is>
          <t xml:space="preserve">Декларация № ЕАЭС № BY/112 11.01. ТР017 122.01 08246, до 19.04.2028</t>
        </is>
      </c>
      <c r="N97" t="inlineStr">
        <is>
          <t xml:space="preserve">35 × 30 × 3</t>
        </is>
      </c>
      <c r="O97" t="inlineStr">
        <is>
          <t xml:space="preserve">0,4</t>
        </is>
      </c>
      <c r="P97" t="inlineStr">
        <is>
          <t xml:space="preserve">4816148157539</t>
        </is>
      </c>
      <c r="Q97" s="3" t="str">
        <f>HYPERLINK("https://modify.by/img/348649925/1.webp","фото")</f>
        <v>фото</v>
      </c>
      <c r="R97" s="3" t="str">
        <f>HYPERLINK("https://modify.by/catalog/bryuki/348649925/?utm_source=price&amp;utm_medium=xlsx","открыть")</f>
        <v>открыть</v>
      </c>
    </row>
    <row r="98">
      <c r="A98" t="inlineStr">
        <is>
          <t xml:space="preserve">Женский</t>
        </is>
      </c>
      <c r="B98" t="inlineStr">
        <is>
          <t xml:space="preserve">Брюки</t>
        </is>
      </c>
      <c r="C98" t="inlineStr">
        <is>
          <t xml:space="preserve">Брюки летние палаццо легкие немнущиеся, голубой</t>
        </is>
      </c>
      <c r="D98" t="inlineStr">
        <is>
          <t xml:space="preserve">PA52W03Голубой</t>
        </is>
      </c>
      <c r="E98" t="inlineStr">
        <is>
          <t xml:space="preserve">голубой</t>
        </is>
      </c>
      <c r="F98" t="inlineStr">
        <is>
          <t xml:space="preserve">54</t>
        </is>
      </c>
      <c r="G98">
        <v>22</v>
      </c>
      <c r="H98" s="2">
        <v>46.0</v>
      </c>
      <c r="I98" t="inlineStr">
        <is>
          <t xml:space="preserve">60% хлопок, 30% полиэфирные волокна, 5% эластан</t>
        </is>
      </c>
      <c r="J98" t="inlineStr">
        <is>
          <t xml:space="preserve">лето</t>
        </is>
      </c>
      <c r="K98" t="inlineStr">
        <is>
          <t xml:space="preserve">Бангладеш</t>
        </is>
      </c>
      <c r="L98" t="inlineStr">
        <is>
          <t xml:space="preserve">6204623900</t>
        </is>
      </c>
      <c r="M98" t="inlineStr">
        <is>
          <t xml:space="preserve">Декларация № ЕАЭС № BY/112 11.01. ТР017 122.01 08246, до 19.04.2028</t>
        </is>
      </c>
      <c r="N98" t="inlineStr">
        <is>
          <t xml:space="preserve">35 × 30 × 3</t>
        </is>
      </c>
      <c r="O98" t="inlineStr">
        <is>
          <t xml:space="preserve">0,4</t>
        </is>
      </c>
      <c r="P98" t="inlineStr">
        <is>
          <t xml:space="preserve">4816148157546</t>
        </is>
      </c>
      <c r="Q98" s="3" t="str">
        <f>HYPERLINK("https://modify.by/img/348649925/1.webp","фото")</f>
        <v>фото</v>
      </c>
      <c r="R98" s="3" t="str">
        <f>HYPERLINK("https://modify.by/catalog/bryuki/348649925/?utm_source=price&amp;utm_medium=xlsx","открыть")</f>
        <v>открыть</v>
      </c>
    </row>
    <row r="99">
      <c r="A99" t="inlineStr">
        <is>
          <t xml:space="preserve">Женский</t>
        </is>
      </c>
      <c r="B99" t="inlineStr">
        <is>
          <t xml:space="preserve">Брюки</t>
        </is>
      </c>
      <c r="C99" t="inlineStr">
        <is>
          <t xml:space="preserve">Брюки летние палаццо легкие немнущиеся, песочный</t>
        </is>
      </c>
      <c r="D99" t="inlineStr">
        <is>
          <t xml:space="preserve">PA52W03Песочный</t>
        </is>
      </c>
      <c r="E99" t="inlineStr">
        <is>
          <t xml:space="preserve">песочный</t>
        </is>
      </c>
      <c r="F99" t="inlineStr">
        <is>
          <t xml:space="preserve">48</t>
        </is>
      </c>
      <c r="G99">
        <v>15</v>
      </c>
      <c r="H99" s="2">
        <v>46.0</v>
      </c>
      <c r="I99" t="inlineStr">
        <is>
          <t xml:space="preserve">60% хлопок, 35% полиэфирные волокна, 5% эластан</t>
        </is>
      </c>
      <c r="J99" t="inlineStr">
        <is>
          <t xml:space="preserve">лето</t>
        </is>
      </c>
      <c r="K99" t="inlineStr">
        <is>
          <t xml:space="preserve">Бангладеш</t>
        </is>
      </c>
      <c r="L99" t="inlineStr">
        <is>
          <t xml:space="preserve">6204623900</t>
        </is>
      </c>
      <c r="M99" t="inlineStr">
        <is>
          <t xml:space="preserve">Декларация № ЕАЭС № BY/112 11.01. ТР017 122.01 08246, до 19.04.2028</t>
        </is>
      </c>
      <c r="N99" t="inlineStr">
        <is>
          <t xml:space="preserve">35 × 30 × 3</t>
        </is>
      </c>
      <c r="O99" t="inlineStr">
        <is>
          <t xml:space="preserve">0,4</t>
        </is>
      </c>
      <c r="P99" t="inlineStr">
        <is>
          <t xml:space="preserve">4816148157690</t>
        </is>
      </c>
      <c r="Q99" s="3" t="str">
        <f>HYPERLINK("https://modify.by/img/348649929/1.webp","фото")</f>
        <v>фото</v>
      </c>
      <c r="R99" s="3" t="str">
        <f>HYPERLINK("https://modify.by/catalog/bryuki/348649929/?utm_source=price&amp;utm_medium=xlsx","открыть")</f>
        <v>открыть</v>
      </c>
    </row>
    <row r="100">
      <c r="A100" t="inlineStr">
        <is>
          <t xml:space="preserve">Женский</t>
        </is>
      </c>
      <c r="B100" t="inlineStr">
        <is>
          <t xml:space="preserve">Брюки</t>
        </is>
      </c>
      <c r="C100" t="inlineStr">
        <is>
          <t xml:space="preserve">Брюки летние палаццо легкие немнущиеся, песочный</t>
        </is>
      </c>
      <c r="D100" t="inlineStr">
        <is>
          <t xml:space="preserve">PA52W03Песочный</t>
        </is>
      </c>
      <c r="E100" t="inlineStr">
        <is>
          <t xml:space="preserve">песочный</t>
        </is>
      </c>
      <c r="F100" t="inlineStr">
        <is>
          <t xml:space="preserve">50</t>
        </is>
      </c>
      <c r="G100">
        <v>17</v>
      </c>
      <c r="H100" s="2">
        <v>46.0</v>
      </c>
      <c r="I100" t="inlineStr">
        <is>
          <t xml:space="preserve">60% хлопок, 35% полиэфирные волокна, 5% эластан</t>
        </is>
      </c>
      <c r="J100" t="inlineStr">
        <is>
          <t xml:space="preserve">лето</t>
        </is>
      </c>
      <c r="K100" t="inlineStr">
        <is>
          <t xml:space="preserve">Бангладеш</t>
        </is>
      </c>
      <c r="L100" t="inlineStr">
        <is>
          <t xml:space="preserve">6204623900</t>
        </is>
      </c>
      <c r="M100" t="inlineStr">
        <is>
          <t xml:space="preserve">Декларация № ЕАЭС № BY/112 11.01. ТР017 122.01 08246, до 19.04.2028</t>
        </is>
      </c>
      <c r="N100" t="inlineStr">
        <is>
          <t xml:space="preserve">35 × 30 × 3</t>
        </is>
      </c>
      <c r="O100" t="inlineStr">
        <is>
          <t xml:space="preserve">0,4</t>
        </is>
      </c>
      <c r="P100" t="inlineStr">
        <is>
          <t xml:space="preserve">4816148157706</t>
        </is>
      </c>
      <c r="Q100" s="3" t="str">
        <f>HYPERLINK("https://modify.by/img/348649929/1.webp","фото")</f>
        <v>фото</v>
      </c>
      <c r="R100" s="3" t="str">
        <f>HYPERLINK("https://modify.by/catalog/bryuki/348649929/?utm_source=price&amp;utm_medium=xlsx","открыть")</f>
        <v>открыть</v>
      </c>
    </row>
    <row r="101">
      <c r="A101" t="inlineStr">
        <is>
          <t xml:space="preserve">Женский</t>
        </is>
      </c>
      <c r="B101" t="inlineStr">
        <is>
          <t xml:space="preserve">Брюки</t>
        </is>
      </c>
      <c r="C101" t="inlineStr">
        <is>
          <t xml:space="preserve">Брюки летние палаццо легкие немнущиеся, песочный</t>
        </is>
      </c>
      <c r="D101" t="inlineStr">
        <is>
          <t xml:space="preserve">PA52W03Песочный</t>
        </is>
      </c>
      <c r="E101" t="inlineStr">
        <is>
          <t xml:space="preserve">песочный</t>
        </is>
      </c>
      <c r="F101" t="inlineStr">
        <is>
          <t xml:space="preserve">52</t>
        </is>
      </c>
      <c r="G101">
        <v>6</v>
      </c>
      <c r="H101" s="2">
        <v>46.0</v>
      </c>
      <c r="I101" t="inlineStr">
        <is>
          <t xml:space="preserve">60% хлопок, 35% полиэфирные волокна, 5% эластан</t>
        </is>
      </c>
      <c r="J101" t="inlineStr">
        <is>
          <t xml:space="preserve">лето</t>
        </is>
      </c>
      <c r="K101" t="inlineStr">
        <is>
          <t xml:space="preserve">Бангладеш</t>
        </is>
      </c>
      <c r="L101" t="inlineStr">
        <is>
          <t xml:space="preserve">6204623900</t>
        </is>
      </c>
      <c r="M101" t="inlineStr">
        <is>
          <t xml:space="preserve">Декларация № ЕАЭС № BY/112 11.01. ТР017 122.01 08246, до 19.04.2028</t>
        </is>
      </c>
      <c r="N101" t="inlineStr">
        <is>
          <t xml:space="preserve">35 × 30 × 3</t>
        </is>
      </c>
      <c r="O101" t="inlineStr">
        <is>
          <t xml:space="preserve">0,4</t>
        </is>
      </c>
      <c r="P101" t="inlineStr">
        <is>
          <t xml:space="preserve">4816148157713</t>
        </is>
      </c>
      <c r="Q101" s="3" t="str">
        <f>HYPERLINK("https://modify.by/img/348649929/1.webp","фото")</f>
        <v>фото</v>
      </c>
      <c r="R101" s="3" t="str">
        <f>HYPERLINK("https://modify.by/catalog/bryuki/348649929/?utm_source=price&amp;utm_medium=xlsx","открыть")</f>
        <v>открыть</v>
      </c>
    </row>
    <row r="102">
      <c r="A102" t="inlineStr">
        <is>
          <t xml:space="preserve">Женский</t>
        </is>
      </c>
      <c r="B102" t="inlineStr">
        <is>
          <t xml:space="preserve">Брюки</t>
        </is>
      </c>
      <c r="C102" t="inlineStr">
        <is>
          <t xml:space="preserve">Брюки летние палаццо легкие немнущиеся, песочный</t>
        </is>
      </c>
      <c r="D102" t="inlineStr">
        <is>
          <t xml:space="preserve">PA52W03Песочный</t>
        </is>
      </c>
      <c r="E102" t="inlineStr">
        <is>
          <t xml:space="preserve">песочный</t>
        </is>
      </c>
      <c r="F102" t="inlineStr">
        <is>
          <t xml:space="preserve">54</t>
        </is>
      </c>
      <c r="G102">
        <v>9</v>
      </c>
      <c r="H102" s="2">
        <v>46.0</v>
      </c>
      <c r="I102" t="inlineStr">
        <is>
          <t xml:space="preserve">60% хлопок, 35% полиэфирные волокна, 5% эластан</t>
        </is>
      </c>
      <c r="J102" t="inlineStr">
        <is>
          <t xml:space="preserve">лето</t>
        </is>
      </c>
      <c r="K102" t="inlineStr">
        <is>
          <t xml:space="preserve">Бангладеш</t>
        </is>
      </c>
      <c r="L102" t="inlineStr">
        <is>
          <t xml:space="preserve">6204623900</t>
        </is>
      </c>
      <c r="M102" t="inlineStr">
        <is>
          <t xml:space="preserve">Декларация № ЕАЭС № BY/112 11.01. ТР017 122.01 08246, до 19.04.2028</t>
        </is>
      </c>
      <c r="N102" t="inlineStr">
        <is>
          <t xml:space="preserve">35 × 30 × 3</t>
        </is>
      </c>
      <c r="O102" t="inlineStr">
        <is>
          <t xml:space="preserve">0,4</t>
        </is>
      </c>
      <c r="P102" t="inlineStr">
        <is>
          <t xml:space="preserve">4816148157720</t>
        </is>
      </c>
      <c r="Q102" s="3" t="str">
        <f>HYPERLINK("https://modify.by/img/348649929/1.webp","фото")</f>
        <v>фото</v>
      </c>
      <c r="R102" s="3" t="str">
        <f>HYPERLINK("https://modify.by/catalog/bryuki/348649929/?utm_source=price&amp;utm_medium=xlsx","открыть")</f>
        <v>открыть</v>
      </c>
    </row>
    <row r="103">
      <c r="A103" t="inlineStr">
        <is>
          <t xml:space="preserve">Женский</t>
        </is>
      </c>
      <c r="B103" t="inlineStr">
        <is>
          <t xml:space="preserve">Брюки</t>
        </is>
      </c>
      <c r="C103" t="inlineStr">
        <is>
          <t xml:space="preserve">Брюки палаццо летние пляжные широкие 100% хлопок</t>
        </is>
      </c>
      <c r="D103" t="inlineStr">
        <is>
          <t xml:space="preserve">PA62W02_черный</t>
        </is>
      </c>
      <c r="E103" t="inlineStr">
        <is>
          <t xml:space="preserve">черный</t>
        </is>
      </c>
      <c r="F103" t="inlineStr">
        <is>
          <t xml:space="preserve">46</t>
        </is>
      </c>
      <c r="G103">
        <v>2</v>
      </c>
      <c r="H103" s="2">
        <v>36.0</v>
      </c>
      <c r="I103" t="inlineStr">
        <is>
          <t xml:space="preserve">100% премиум хлопок</t>
        </is>
      </c>
      <c r="J103" t="inlineStr">
        <is>
          <t xml:space="preserve">лето</t>
        </is>
      </c>
      <c r="K103" t="inlineStr">
        <is>
          <t xml:space="preserve">Бангладеш</t>
        </is>
      </c>
      <c r="L103" t="inlineStr">
        <is>
          <t xml:space="preserve">6204691800</t>
        </is>
      </c>
      <c r="M103" t="inlineStr">
        <is>
          <t xml:space="preserve">Декларация № ЕАЭС № BY/112 11.01. ТР017 122.01 08246, до 19.04.2028</t>
        </is>
      </c>
      <c r="N103" t="inlineStr">
        <is>
          <t xml:space="preserve">30 × 30 × 3</t>
        </is>
      </c>
      <c r="O103" t="inlineStr">
        <is>
          <t xml:space="preserve">0,35</t>
        </is>
      </c>
      <c r="P103" t="inlineStr">
        <is>
          <t xml:space="preserve">4816148183606</t>
        </is>
      </c>
      <c r="Q103" s="3" t="str">
        <f>HYPERLINK("https://modify.by/img/1127193123/1.webp","фото")</f>
        <v>фото</v>
      </c>
      <c r="R103" s="3" t="str">
        <f>HYPERLINK("https://modify.by/catalog/bryuki/1127193123/?utm_source=price&amp;utm_medium=xlsx","открыть")</f>
        <v>открыть</v>
      </c>
    </row>
    <row r="104">
      <c r="A104" t="inlineStr">
        <is>
          <t xml:space="preserve">Женский</t>
        </is>
      </c>
      <c r="B104" t="inlineStr">
        <is>
          <t xml:space="preserve">Брюки</t>
        </is>
      </c>
      <c r="C104" t="inlineStr">
        <is>
          <t xml:space="preserve">Брюки палаццо летние пляжные широкие кюлоты из вискозы</t>
        </is>
      </c>
      <c r="D104" t="inlineStr">
        <is>
          <t xml:space="preserve">PA62W03_салатовый,белый</t>
        </is>
      </c>
      <c r="E104" t="inlineStr">
        <is>
          <t xml:space="preserve">салатовый, мятный, белый</t>
        </is>
      </c>
      <c r="F104" t="inlineStr">
        <is>
          <t xml:space="preserve">40</t>
        </is>
      </c>
      <c r="G104">
        <v>21</v>
      </c>
      <c r="H104" s="2">
        <v>26.0</v>
      </c>
      <c r="I104" t="inlineStr">
        <is>
          <t xml:space="preserve">район, вискоза</t>
        </is>
      </c>
      <c r="J104" t="inlineStr">
        <is>
          <t xml:space="preserve">лето</t>
        </is>
      </c>
      <c r="K104" t="inlineStr">
        <is>
          <t xml:space="preserve">Бангладеш</t>
        </is>
      </c>
      <c r="L104" t="inlineStr">
        <is>
          <t xml:space="preserve">6204691800</t>
        </is>
      </c>
      <c r="M104" t="inlineStr">
        <is>
          <t xml:space="preserve">Декларация № ЕАЭС № BY/112 11.01. ТР017 122.01 08246, до 19.04.2028</t>
        </is>
      </c>
      <c r="N104" t="inlineStr">
        <is>
          <t xml:space="preserve">15 × 12 × 6</t>
        </is>
      </c>
      <c r="O104" t="inlineStr">
        <is>
          <t xml:space="preserve">0,2</t>
        </is>
      </c>
      <c r="P104" t="inlineStr">
        <is>
          <t xml:space="preserve">4816148184016</t>
        </is>
      </c>
      <c r="Q104" s="3" t="str">
        <f>HYPERLINK("https://modify.by/img/1127647978/1.webp","фото")</f>
        <v>фото</v>
      </c>
      <c r="R104" s="3" t="str">
        <f>HYPERLINK("https://modify.by/catalog/bryuki/1127647978/?utm_source=price&amp;utm_medium=xlsx","открыть")</f>
        <v>открыть</v>
      </c>
    </row>
    <row r="105">
      <c r="A105" t="inlineStr">
        <is>
          <t xml:space="preserve">Женский</t>
        </is>
      </c>
      <c r="B105" t="inlineStr">
        <is>
          <t xml:space="preserve">Брюки</t>
        </is>
      </c>
      <c r="C105" t="inlineStr">
        <is>
          <t xml:space="preserve">Брюки палаццо летние широкие жатка кюлоты с высокой талией</t>
        </is>
      </c>
      <c r="D105" t="inlineStr">
        <is>
          <t xml:space="preserve">PA52W03Розовый</t>
        </is>
      </c>
      <c r="E105" t="inlineStr">
        <is>
          <t xml:space="preserve">пыльная роза</t>
        </is>
      </c>
      <c r="F105" t="inlineStr">
        <is>
          <t xml:space="preserve">46</t>
        </is>
      </c>
      <c r="G105">
        <v>19</v>
      </c>
      <c r="H105" s="2">
        <v>46.0</v>
      </c>
      <c r="I105" t="inlineStr">
        <is>
          <t xml:space="preserve">60% хлопок, 35% полиэфирные волокна, 5% эластан</t>
        </is>
      </c>
      <c r="J105" t="inlineStr">
        <is>
          <t xml:space="preserve">лето</t>
        </is>
      </c>
      <c r="K105" t="inlineStr">
        <is>
          <t xml:space="preserve">Бангладеш</t>
        </is>
      </c>
      <c r="L105" t="inlineStr">
        <is>
          <t xml:space="preserve">6204623900</t>
        </is>
      </c>
      <c r="M105" t="inlineStr">
        <is>
          <t xml:space="preserve">Декларация № ЕАЭС № BY/112 11.01. ТР017 122.01 08246, до 19.04.2028</t>
        </is>
      </c>
      <c r="N105" t="inlineStr">
        <is>
          <t xml:space="preserve">35 × 30 × 3</t>
        </is>
      </c>
      <c r="O105" t="inlineStr">
        <is>
          <t xml:space="preserve">0,4</t>
        </is>
      </c>
      <c r="P105" t="inlineStr">
        <is>
          <t xml:space="preserve">4816148157621</t>
        </is>
      </c>
      <c r="Q105" s="3" t="str">
        <f>HYPERLINK("https://modify.by/img/348649928/1.webp","фото")</f>
        <v>фото</v>
      </c>
      <c r="R105" s="3" t="str">
        <f>HYPERLINK("https://modify.by/catalog/bryuki/348649928/?utm_source=price&amp;utm_medium=xlsx","открыть")</f>
        <v>открыть</v>
      </c>
    </row>
    <row r="106">
      <c r="A106" t="inlineStr">
        <is>
          <t xml:space="preserve">Женский</t>
        </is>
      </c>
      <c r="B106" t="inlineStr">
        <is>
          <t xml:space="preserve">Брюки</t>
        </is>
      </c>
      <c r="C106" t="inlineStr">
        <is>
          <t xml:space="preserve">Брюки палаццо летние широкие жатка кюлоты с высокой талией</t>
        </is>
      </c>
      <c r="D106" t="inlineStr">
        <is>
          <t xml:space="preserve">PA52W03Розовый</t>
        </is>
      </c>
      <c r="E106" t="inlineStr">
        <is>
          <t xml:space="preserve">пыльная роза</t>
        </is>
      </c>
      <c r="F106" t="inlineStr">
        <is>
          <t xml:space="preserve">48</t>
        </is>
      </c>
      <c r="G106">
        <v>25</v>
      </c>
      <c r="H106" s="2">
        <v>46.0</v>
      </c>
      <c r="I106" t="inlineStr">
        <is>
          <t xml:space="preserve">60% хлопок, 35% полиэфирные волокна, 5% эластан</t>
        </is>
      </c>
      <c r="J106" t="inlineStr">
        <is>
          <t xml:space="preserve">лето</t>
        </is>
      </c>
      <c r="K106" t="inlineStr">
        <is>
          <t xml:space="preserve">Бангладеш</t>
        </is>
      </c>
      <c r="L106" t="inlineStr">
        <is>
          <t xml:space="preserve">6204623900</t>
        </is>
      </c>
      <c r="M106" t="inlineStr">
        <is>
          <t xml:space="preserve">Декларация № ЕАЭС № BY/112 11.01. ТР017 122.01 08246, до 19.04.2028</t>
        </is>
      </c>
      <c r="N106" t="inlineStr">
        <is>
          <t xml:space="preserve">35 × 30 × 3</t>
        </is>
      </c>
      <c r="O106" t="inlineStr">
        <is>
          <t xml:space="preserve">0,4</t>
        </is>
      </c>
      <c r="P106" t="inlineStr">
        <is>
          <t xml:space="preserve">4816148157638</t>
        </is>
      </c>
      <c r="Q106" s="3" t="str">
        <f>HYPERLINK("https://modify.by/img/348649928/1.webp","фото")</f>
        <v>фото</v>
      </c>
      <c r="R106" s="3" t="str">
        <f>HYPERLINK("https://modify.by/catalog/bryuki/348649928/?utm_source=price&amp;utm_medium=xlsx","открыть")</f>
        <v>открыть</v>
      </c>
    </row>
    <row r="107">
      <c r="A107" t="inlineStr">
        <is>
          <t xml:space="preserve">Женский</t>
        </is>
      </c>
      <c r="B107" t="inlineStr">
        <is>
          <t xml:space="preserve">Брюки</t>
        </is>
      </c>
      <c r="C107" t="inlineStr">
        <is>
          <t xml:space="preserve">Брюки палаццо летние широкие жатка кюлоты с высокой талией</t>
        </is>
      </c>
      <c r="D107" t="inlineStr">
        <is>
          <t xml:space="preserve">PA52W03Розовый</t>
        </is>
      </c>
      <c r="E107" t="inlineStr">
        <is>
          <t xml:space="preserve">пыльная роза</t>
        </is>
      </c>
      <c r="F107" t="inlineStr">
        <is>
          <t xml:space="preserve">50</t>
        </is>
      </c>
      <c r="G107">
        <v>50</v>
      </c>
      <c r="H107" s="2">
        <v>46.0</v>
      </c>
      <c r="I107" t="inlineStr">
        <is>
          <t xml:space="preserve">60% хлопок, 35% полиэфирные волокна, 5% эластан</t>
        </is>
      </c>
      <c r="J107" t="inlineStr">
        <is>
          <t xml:space="preserve">лето</t>
        </is>
      </c>
      <c r="K107" t="inlineStr">
        <is>
          <t xml:space="preserve">Бангладеш</t>
        </is>
      </c>
      <c r="L107" t="inlineStr">
        <is>
          <t xml:space="preserve">6204623900</t>
        </is>
      </c>
      <c r="M107" t="inlineStr">
        <is>
          <t xml:space="preserve">Декларация № ЕАЭС № BY/112 11.01. ТР017 122.01 08246, до 19.04.2028</t>
        </is>
      </c>
      <c r="N107" t="inlineStr">
        <is>
          <t xml:space="preserve">35 × 30 × 3</t>
        </is>
      </c>
      <c r="O107" t="inlineStr">
        <is>
          <t xml:space="preserve">0,4</t>
        </is>
      </c>
      <c r="P107" t="inlineStr">
        <is>
          <t xml:space="preserve">4816148157645</t>
        </is>
      </c>
      <c r="Q107" s="3" t="str">
        <f>HYPERLINK("https://modify.by/img/348649928/1.webp","фото")</f>
        <v>фото</v>
      </c>
      <c r="R107" s="3" t="str">
        <f>HYPERLINK("https://modify.by/catalog/bryuki/348649928/?utm_source=price&amp;utm_medium=xlsx","открыть")</f>
        <v>открыть</v>
      </c>
    </row>
    <row r="108">
      <c r="A108" t="inlineStr">
        <is>
          <t xml:space="preserve">Женский</t>
        </is>
      </c>
      <c r="B108" t="inlineStr">
        <is>
          <t xml:space="preserve">Брюки</t>
        </is>
      </c>
      <c r="C108" t="inlineStr">
        <is>
          <t xml:space="preserve">Брюки палаццо летние широкие жатка кюлоты с высокой талией</t>
        </is>
      </c>
      <c r="D108" t="inlineStr">
        <is>
          <t xml:space="preserve">PA52W03Розовый</t>
        </is>
      </c>
      <c r="E108" t="inlineStr">
        <is>
          <t xml:space="preserve">пыльная роза</t>
        </is>
      </c>
      <c r="F108" t="inlineStr">
        <is>
          <t xml:space="preserve">52</t>
        </is>
      </c>
      <c r="G108">
        <v>25</v>
      </c>
      <c r="H108" s="2">
        <v>46.0</v>
      </c>
      <c r="I108" t="inlineStr">
        <is>
          <t xml:space="preserve">60% хлопок, 35% полиэфирные волокна, 5% эластан</t>
        </is>
      </c>
      <c r="J108" t="inlineStr">
        <is>
          <t xml:space="preserve">лето</t>
        </is>
      </c>
      <c r="K108" t="inlineStr">
        <is>
          <t xml:space="preserve">Бангладеш</t>
        </is>
      </c>
      <c r="L108" t="inlineStr">
        <is>
          <t xml:space="preserve">6204623900</t>
        </is>
      </c>
      <c r="M108" t="inlineStr">
        <is>
          <t xml:space="preserve">Декларация № ЕАЭС № BY/112 11.01. ТР017 122.01 08246, до 19.04.2028</t>
        </is>
      </c>
      <c r="N108" t="inlineStr">
        <is>
          <t xml:space="preserve">35 × 30 × 3</t>
        </is>
      </c>
      <c r="O108" t="inlineStr">
        <is>
          <t xml:space="preserve">0,4</t>
        </is>
      </c>
      <c r="P108" t="inlineStr">
        <is>
          <t xml:space="preserve">4816148157652</t>
        </is>
      </c>
      <c r="Q108" s="3" t="str">
        <f>HYPERLINK("https://modify.by/img/348649928/1.webp","фото")</f>
        <v>фото</v>
      </c>
      <c r="R108" s="3" t="str">
        <f>HYPERLINK("https://modify.by/catalog/bryuki/348649928/?utm_source=price&amp;utm_medium=xlsx","открыть")</f>
        <v>открыть</v>
      </c>
    </row>
    <row r="109">
      <c r="A109" t="inlineStr">
        <is>
          <t xml:space="preserve">Женский</t>
        </is>
      </c>
      <c r="B109" t="inlineStr">
        <is>
          <t xml:space="preserve">Брюки</t>
        </is>
      </c>
      <c r="C109" t="inlineStr">
        <is>
          <t xml:space="preserve">Брюки палаццо летние широкие жатка кюлоты с высокой талией</t>
        </is>
      </c>
      <c r="D109" t="inlineStr">
        <is>
          <t xml:space="preserve">PA52W03Розовый</t>
        </is>
      </c>
      <c r="E109" t="inlineStr">
        <is>
          <t xml:space="preserve">пыльная роза</t>
        </is>
      </c>
      <c r="F109" t="inlineStr">
        <is>
          <t xml:space="preserve">54</t>
        </is>
      </c>
      <c r="G109">
        <v>28</v>
      </c>
      <c r="H109" s="2">
        <v>46.0</v>
      </c>
      <c r="I109" t="inlineStr">
        <is>
          <t xml:space="preserve">60% хлопок, 35% полиэфирные волокна, 5% эластан</t>
        </is>
      </c>
      <c r="J109" t="inlineStr">
        <is>
          <t xml:space="preserve">лето</t>
        </is>
      </c>
      <c r="K109" t="inlineStr">
        <is>
          <t xml:space="preserve">Бангладеш</t>
        </is>
      </c>
      <c r="L109" t="inlineStr">
        <is>
          <t xml:space="preserve">6204623900</t>
        </is>
      </c>
      <c r="M109" t="inlineStr">
        <is>
          <t xml:space="preserve">Декларация № ЕАЭС № BY/112 11.01. ТР017 122.01 08246, до 19.04.2028</t>
        </is>
      </c>
      <c r="N109" t="inlineStr">
        <is>
          <t xml:space="preserve">35 × 30 × 3</t>
        </is>
      </c>
      <c r="O109" t="inlineStr">
        <is>
          <t xml:space="preserve">0,4</t>
        </is>
      </c>
      <c r="P109" t="inlineStr">
        <is>
          <t xml:space="preserve">4816148157669</t>
        </is>
      </c>
      <c r="Q109" s="3" t="str">
        <f>HYPERLINK("https://modify.by/img/348649928/1.webp","фото")</f>
        <v>фото</v>
      </c>
      <c r="R109" s="3" t="str">
        <f>HYPERLINK("https://modify.by/catalog/bryuki/348649928/?utm_source=price&amp;utm_medium=xlsx","открыть")</f>
        <v>открыть</v>
      </c>
    </row>
    <row r="110">
      <c r="A110" t="inlineStr">
        <is>
          <t xml:space="preserve">Женский</t>
        </is>
      </c>
      <c r="B110" t="inlineStr">
        <is>
          <t xml:space="preserve">Брюки</t>
        </is>
      </c>
      <c r="C110" t="inlineStr">
        <is>
          <t xml:space="preserve">Брюки прямые с защипами розовые фуксия</t>
        </is>
      </c>
      <c r="D110" t="inlineStr">
        <is>
          <t xml:space="preserve">PA32W08Фуксия</t>
        </is>
      </c>
      <c r="E110" t="inlineStr">
        <is>
          <t xml:space="preserve">розовый, фуксия</t>
        </is>
      </c>
      <c r="F110" t="inlineStr">
        <is>
          <t xml:space="preserve">54</t>
        </is>
      </c>
      <c r="G110">
        <v>1</v>
      </c>
      <c r="H110" s="2">
        <v>30.0</v>
      </c>
      <c r="I110" t="inlineStr">
        <is>
          <t xml:space="preserve">хлопок 100%</t>
        </is>
      </c>
      <c r="J110" t="inlineStr">
        <is>
          <t xml:space="preserve">Лето</t>
        </is>
      </c>
      <c r="K110" t="inlineStr">
        <is>
          <t xml:space="preserve">Бангладеш</t>
        </is>
      </c>
      <c r="L110" t="inlineStr">
        <is>
          <t xml:space="preserve">6204623900</t>
        </is>
      </c>
      <c r="M110" t="inlineStr">
        <is>
          <t xml:space="preserve">по запросу</t>
        </is>
      </c>
      <c r="N110" t="inlineStr">
        <is>
          <t xml:space="preserve">38 × 30 × 2</t>
        </is>
      </c>
      <c r="O110" t="inlineStr">
        <is>
          <t xml:space="preserve">0,42</t>
        </is>
      </c>
      <c r="P110" t="inlineStr">
        <is>
          <t xml:space="preserve">2026620765738</t>
        </is>
      </c>
      <c r="Q110" s="3" t="str">
        <f>HYPERLINK("https://modify.by/img/160893498/1.webp","фото")</f>
        <v>фото</v>
      </c>
      <c r="R110" s="3" t="str">
        <f>HYPERLINK("https://modify.by/catalog/bryuki/160893498/?utm_source=price&amp;utm_medium=xlsx","открыть")</f>
        <v>открыть</v>
      </c>
    </row>
    <row r="111">
      <c r="A111" t="inlineStr">
        <is>
          <t xml:space="preserve">Женский</t>
        </is>
      </c>
      <c r="B111" t="inlineStr">
        <is>
          <t xml:space="preserve">Брюки</t>
        </is>
      </c>
      <c r="C111" t="inlineStr">
        <is>
          <t xml:space="preserve">Брюки трикотажные на резинке</t>
        </is>
      </c>
      <c r="D111" t="inlineStr">
        <is>
          <t xml:space="preserve">PA42W02черный</t>
        </is>
      </c>
      <c r="E111" t="inlineStr">
        <is>
          <t xml:space="preserve">черный</t>
        </is>
      </c>
      <c r="F111" t="inlineStr">
        <is>
          <t xml:space="preserve">44</t>
        </is>
      </c>
      <c r="G111">
        <v>8</v>
      </c>
      <c r="H111" s="2">
        <v>34.0</v>
      </c>
      <c r="I111" t="inlineStr">
        <is>
          <t xml:space="preserve">Хлопок 98%, Эластан 2%</t>
        </is>
      </c>
      <c r="J111" t="inlineStr">
        <is>
          <t xml:space="preserve">демисезон</t>
        </is>
      </c>
      <c r="K111" t="inlineStr">
        <is>
          <t xml:space="preserve">Бангладеш</t>
        </is>
      </c>
      <c r="L111" t="inlineStr">
        <is>
          <t xml:space="preserve">6204623900</t>
        </is>
      </c>
      <c r="M111" t="inlineStr">
        <is>
          <t xml:space="preserve">Декларация № ЕАЭС № BY/112 11.01. ТР017 122.01 08246, до 19.04.2028</t>
        </is>
      </c>
      <c r="N111" t="inlineStr">
        <is>
          <t xml:space="preserve">31 × 27 × 2</t>
        </is>
      </c>
      <c r="O111" t="inlineStr">
        <is>
          <t xml:space="preserve">0,4</t>
        </is>
      </c>
      <c r="P111" t="inlineStr">
        <is>
          <t xml:space="preserve">4816148101105</t>
        </is>
      </c>
      <c r="Q111" s="3" t="str">
        <f>HYPERLINK("https://modify.by/img/234681638/1.webp","фото")</f>
        <v>фото</v>
      </c>
      <c r="R111" s="3" t="str">
        <f>HYPERLINK("https://modify.by/catalog/bryuki/234681638/?utm_source=price&amp;utm_medium=xlsx","открыть")</f>
        <v>открыть</v>
      </c>
    </row>
    <row r="112">
      <c r="A112" t="inlineStr">
        <is>
          <t xml:space="preserve">Женский</t>
        </is>
      </c>
      <c r="B112" t="inlineStr">
        <is>
          <t xml:space="preserve">Брюки</t>
        </is>
      </c>
      <c r="C112" t="inlineStr">
        <is>
          <t xml:space="preserve">Брюки трикотажные на резинке</t>
        </is>
      </c>
      <c r="D112" t="inlineStr">
        <is>
          <t xml:space="preserve">PA42W02черный</t>
        </is>
      </c>
      <c r="E112" t="inlineStr">
        <is>
          <t xml:space="preserve">черный</t>
        </is>
      </c>
      <c r="F112" t="inlineStr">
        <is>
          <t xml:space="preserve">46</t>
        </is>
      </c>
      <c r="G112">
        <v>32</v>
      </c>
      <c r="H112" s="2">
        <v>34.0</v>
      </c>
      <c r="I112" t="inlineStr">
        <is>
          <t xml:space="preserve">Хлопок 98%, Эластан 2%</t>
        </is>
      </c>
      <c r="J112" t="inlineStr">
        <is>
          <t xml:space="preserve">демисезон</t>
        </is>
      </c>
      <c r="K112" t="inlineStr">
        <is>
          <t xml:space="preserve">Бангладеш</t>
        </is>
      </c>
      <c r="L112" t="inlineStr">
        <is>
          <t xml:space="preserve">6204623900</t>
        </is>
      </c>
      <c r="M112" t="inlineStr">
        <is>
          <t xml:space="preserve">Декларация № ЕАЭС № BY/112 11.01. ТР017 122.01 08246, до 19.04.2028</t>
        </is>
      </c>
      <c r="N112" t="inlineStr">
        <is>
          <t xml:space="preserve">31 × 27 × 2</t>
        </is>
      </c>
      <c r="O112" t="inlineStr">
        <is>
          <t xml:space="preserve">0,4</t>
        </is>
      </c>
      <c r="P112" t="inlineStr">
        <is>
          <t xml:space="preserve">4816148101112</t>
        </is>
      </c>
      <c r="Q112" s="3" t="str">
        <f>HYPERLINK("https://modify.by/img/234681638/1.webp","фото")</f>
        <v>фото</v>
      </c>
      <c r="R112" s="3" t="str">
        <f>HYPERLINK("https://modify.by/catalog/bryuki/234681638/?utm_source=price&amp;utm_medium=xlsx","открыть")</f>
        <v>открыть</v>
      </c>
    </row>
    <row r="113">
      <c r="A113" t="inlineStr">
        <is>
          <t xml:space="preserve">Женский</t>
        </is>
      </c>
      <c r="B113" t="inlineStr">
        <is>
          <t xml:space="preserve">Брюки</t>
        </is>
      </c>
      <c r="C113" t="inlineStr">
        <is>
          <t xml:space="preserve">Брюки трикотажные на резинке</t>
        </is>
      </c>
      <c r="D113" t="inlineStr">
        <is>
          <t xml:space="preserve">PA42W02черный</t>
        </is>
      </c>
      <c r="E113" t="inlineStr">
        <is>
          <t xml:space="preserve">черный</t>
        </is>
      </c>
      <c r="F113" t="inlineStr">
        <is>
          <t xml:space="preserve">48</t>
        </is>
      </c>
      <c r="G113">
        <v>10</v>
      </c>
      <c r="H113" s="2">
        <v>34.0</v>
      </c>
      <c r="I113" t="inlineStr">
        <is>
          <t xml:space="preserve">Хлопок 98%, Эластан 2%</t>
        </is>
      </c>
      <c r="J113" t="inlineStr">
        <is>
          <t xml:space="preserve">демисезон</t>
        </is>
      </c>
      <c r="K113" t="inlineStr">
        <is>
          <t xml:space="preserve">Бангладеш</t>
        </is>
      </c>
      <c r="L113" t="inlineStr">
        <is>
          <t xml:space="preserve">6204623900</t>
        </is>
      </c>
      <c r="M113" t="inlineStr">
        <is>
          <t xml:space="preserve">Декларация № ЕАЭС № BY/112 11.01. ТР017 122.01 08246, до 19.04.2028</t>
        </is>
      </c>
      <c r="N113" t="inlineStr">
        <is>
          <t xml:space="preserve">31 × 27 × 2</t>
        </is>
      </c>
      <c r="O113" t="inlineStr">
        <is>
          <t xml:space="preserve">0,4</t>
        </is>
      </c>
      <c r="P113" t="inlineStr">
        <is>
          <t xml:space="preserve">4816148101129</t>
        </is>
      </c>
      <c r="Q113" s="3" t="str">
        <f>HYPERLINK("https://modify.by/img/234681638/1.webp","фото")</f>
        <v>фото</v>
      </c>
      <c r="R113" s="3" t="str">
        <f>HYPERLINK("https://modify.by/catalog/bryuki/234681638/?utm_source=price&amp;utm_medium=xlsx","открыть")</f>
        <v>открыть</v>
      </c>
    </row>
    <row r="114">
      <c r="A114" t="inlineStr">
        <is>
          <t xml:space="preserve">Женский</t>
        </is>
      </c>
      <c r="B114" t="inlineStr">
        <is>
          <t xml:space="preserve">Брюки</t>
        </is>
      </c>
      <c r="C114" t="inlineStr">
        <is>
          <t xml:space="preserve">Брюки трикотажные на резинке</t>
        </is>
      </c>
      <c r="D114" t="inlineStr">
        <is>
          <t xml:space="preserve">PA42W02черный</t>
        </is>
      </c>
      <c r="E114" t="inlineStr">
        <is>
          <t xml:space="preserve">черный</t>
        </is>
      </c>
      <c r="F114" t="inlineStr">
        <is>
          <t xml:space="preserve">50</t>
        </is>
      </c>
      <c r="G114">
        <v>8</v>
      </c>
      <c r="H114" s="2">
        <v>34.0</v>
      </c>
      <c r="I114" t="inlineStr">
        <is>
          <t xml:space="preserve">Хлопок 98%, Эластан 2%</t>
        </is>
      </c>
      <c r="J114" t="inlineStr">
        <is>
          <t xml:space="preserve">демисезон</t>
        </is>
      </c>
      <c r="K114" t="inlineStr">
        <is>
          <t xml:space="preserve">Бангладеш</t>
        </is>
      </c>
      <c r="L114" t="inlineStr">
        <is>
          <t xml:space="preserve">6204623900</t>
        </is>
      </c>
      <c r="M114" t="inlineStr">
        <is>
          <t xml:space="preserve">Декларация № ЕАЭС № BY/112 11.01. ТР017 122.01 08246, до 19.04.2028</t>
        </is>
      </c>
      <c r="N114" t="inlineStr">
        <is>
          <t xml:space="preserve">31 × 27 × 2</t>
        </is>
      </c>
      <c r="O114" t="inlineStr">
        <is>
          <t xml:space="preserve">0,4</t>
        </is>
      </c>
      <c r="P114" t="inlineStr">
        <is>
          <t xml:space="preserve">4816148101136</t>
        </is>
      </c>
      <c r="Q114" s="3" t="str">
        <f>HYPERLINK("https://modify.by/img/234681638/1.webp","фото")</f>
        <v>фото</v>
      </c>
      <c r="R114" s="3" t="str">
        <f>HYPERLINK("https://modify.by/catalog/bryuki/234681638/?utm_source=price&amp;utm_medium=xlsx","открыть")</f>
        <v>открыть</v>
      </c>
    </row>
    <row r="115">
      <c r="A115" t="inlineStr">
        <is>
          <t xml:space="preserve">Женский</t>
        </is>
      </c>
      <c r="B115" t="inlineStr">
        <is>
          <t xml:space="preserve">Брюки</t>
        </is>
      </c>
      <c r="C115" t="inlineStr">
        <is>
          <t xml:space="preserve">Брюки укороченные скинни стрейч из вискозы</t>
        </is>
      </c>
      <c r="D115" t="inlineStr">
        <is>
          <t xml:space="preserve">PA52W02бежевый</t>
        </is>
      </c>
      <c r="E115" t="inlineStr">
        <is>
          <t xml:space="preserve">бежевый, серо-бежевый светлый</t>
        </is>
      </c>
      <c r="F115" t="inlineStr">
        <is>
          <t xml:space="preserve">44</t>
        </is>
      </c>
      <c r="G115">
        <v>29</v>
      </c>
      <c r="H115" s="2">
        <v>34.0</v>
      </c>
      <c r="I115" t="inlineStr">
        <is>
          <t xml:space="preserve">Вискоза 75%, Нейлон 21%, Эластан 4%</t>
        </is>
      </c>
      <c r="J115" t="inlineStr">
        <is>
          <t xml:space="preserve">демисезон</t>
        </is>
      </c>
      <c r="K115" t="inlineStr">
        <is>
          <t xml:space="preserve">Бангладеш</t>
        </is>
      </c>
      <c r="L115" t="inlineStr">
        <is>
          <t xml:space="preserve">6204631800</t>
        </is>
      </c>
      <c r="M115" t="inlineStr">
        <is>
          <t xml:space="preserve">Декларация № ЕАЭС № BY/112 11.01. ТР017 122.01 08246, до 19.04.2028</t>
        </is>
      </c>
      <c r="N115" t="inlineStr">
        <is>
          <t xml:space="preserve">30 × 24 × 2</t>
        </is>
      </c>
      <c r="O115" t="inlineStr">
        <is>
          <t xml:space="preserve">0,4</t>
        </is>
      </c>
      <c r="P115" t="inlineStr">
        <is>
          <t xml:space="preserve">4816148157409</t>
        </is>
      </c>
      <c r="Q115" s="3" t="str">
        <f>HYPERLINK("https://modify.by/img/348649885/1.webp","фото")</f>
        <v>фото</v>
      </c>
      <c r="R115" s="3" t="str">
        <f>HYPERLINK("https://modify.by/catalog/bryuki/348649885/?utm_source=price&amp;utm_medium=xlsx","открыть")</f>
        <v>открыть</v>
      </c>
    </row>
    <row r="116">
      <c r="A116" t="inlineStr">
        <is>
          <t xml:space="preserve">Женский</t>
        </is>
      </c>
      <c r="B116" t="inlineStr">
        <is>
          <t xml:space="preserve">Брюки</t>
        </is>
      </c>
      <c r="C116" t="inlineStr">
        <is>
          <t xml:space="preserve">Брюки укороченные скинни стрейч из вискозы</t>
        </is>
      </c>
      <c r="D116" t="inlineStr">
        <is>
          <t xml:space="preserve">PA52W02бежевый</t>
        </is>
      </c>
      <c r="E116" t="inlineStr">
        <is>
          <t xml:space="preserve">бежевый, серо-бежевый светлый</t>
        </is>
      </c>
      <c r="F116" t="inlineStr">
        <is>
          <t xml:space="preserve">46</t>
        </is>
      </c>
      <c r="G116">
        <v>22</v>
      </c>
      <c r="H116" s="2">
        <v>34.0</v>
      </c>
      <c r="I116" t="inlineStr">
        <is>
          <t xml:space="preserve">Вискоза 75%, Нейлон 21%, Эластан 4%</t>
        </is>
      </c>
      <c r="J116" t="inlineStr">
        <is>
          <t xml:space="preserve">демисезон</t>
        </is>
      </c>
      <c r="K116" t="inlineStr">
        <is>
          <t xml:space="preserve">Бангладеш</t>
        </is>
      </c>
      <c r="L116" t="inlineStr">
        <is>
          <t xml:space="preserve">6204631800</t>
        </is>
      </c>
      <c r="M116" t="inlineStr">
        <is>
          <t xml:space="preserve">Декларация № ЕАЭС № BY/112 11.01. ТР017 122.01 08246, до 19.04.2028</t>
        </is>
      </c>
      <c r="N116" t="inlineStr">
        <is>
          <t xml:space="preserve">30 × 24 × 2</t>
        </is>
      </c>
      <c r="O116" t="inlineStr">
        <is>
          <t xml:space="preserve">0,4</t>
        </is>
      </c>
      <c r="P116" t="inlineStr">
        <is>
          <t xml:space="preserve">4816148157416</t>
        </is>
      </c>
      <c r="Q116" s="3" t="str">
        <f>HYPERLINK("https://modify.by/img/348649885/1.webp","фото")</f>
        <v>фото</v>
      </c>
      <c r="R116" s="3" t="str">
        <f>HYPERLINK("https://modify.by/catalog/bryuki/348649885/?utm_source=price&amp;utm_medium=xlsx","открыть")</f>
        <v>открыть</v>
      </c>
    </row>
    <row r="117">
      <c r="A117" t="inlineStr">
        <is>
          <t xml:space="preserve">Женский</t>
        </is>
      </c>
      <c r="B117" t="inlineStr">
        <is>
          <t xml:space="preserve">Брюки</t>
        </is>
      </c>
      <c r="C117" t="inlineStr">
        <is>
          <t xml:space="preserve">Брюки укороченные скинни стрейч из вискозы</t>
        </is>
      </c>
      <c r="D117" t="inlineStr">
        <is>
          <t xml:space="preserve">PA52W02бежевый</t>
        </is>
      </c>
      <c r="E117" t="inlineStr">
        <is>
          <t xml:space="preserve">бежевый, серо-бежевый светлый</t>
        </is>
      </c>
      <c r="F117" t="inlineStr">
        <is>
          <t xml:space="preserve">48</t>
        </is>
      </c>
      <c r="G117">
        <v>63</v>
      </c>
      <c r="H117" s="2">
        <v>34.0</v>
      </c>
      <c r="I117" t="inlineStr">
        <is>
          <t xml:space="preserve">Вискоза 75%, Нейлон 21%, Эластан 4%</t>
        </is>
      </c>
      <c r="J117" t="inlineStr">
        <is>
          <t xml:space="preserve">демисезон</t>
        </is>
      </c>
      <c r="K117" t="inlineStr">
        <is>
          <t xml:space="preserve">Бангладеш</t>
        </is>
      </c>
      <c r="L117" t="inlineStr">
        <is>
          <t xml:space="preserve">6204631800</t>
        </is>
      </c>
      <c r="M117" t="inlineStr">
        <is>
          <t xml:space="preserve">Декларация № ЕАЭС № BY/112 11.01. ТР017 122.01 08246, до 19.04.2028</t>
        </is>
      </c>
      <c r="N117" t="inlineStr">
        <is>
          <t xml:space="preserve">30 × 24 × 2</t>
        </is>
      </c>
      <c r="O117" t="inlineStr">
        <is>
          <t xml:space="preserve">0,4</t>
        </is>
      </c>
      <c r="P117" t="inlineStr">
        <is>
          <t xml:space="preserve">4816148157423</t>
        </is>
      </c>
      <c r="Q117" s="3" t="str">
        <f>HYPERLINK("https://modify.by/img/348649885/1.webp","фото")</f>
        <v>фото</v>
      </c>
      <c r="R117" s="3" t="str">
        <f>HYPERLINK("https://modify.by/catalog/bryuki/348649885/?utm_source=price&amp;utm_medium=xlsx","открыть")</f>
        <v>открыть</v>
      </c>
    </row>
    <row r="118">
      <c r="A118" t="inlineStr">
        <is>
          <t xml:space="preserve">Женский</t>
        </is>
      </c>
      <c r="B118" t="inlineStr">
        <is>
          <t xml:space="preserve">Брюки</t>
        </is>
      </c>
      <c r="C118" t="inlineStr">
        <is>
          <t xml:space="preserve">Брюки укороченные скинни стрейч из вискозы</t>
        </is>
      </c>
      <c r="D118" t="inlineStr">
        <is>
          <t xml:space="preserve">PA52W02бежевый</t>
        </is>
      </c>
      <c r="E118" t="inlineStr">
        <is>
          <t xml:space="preserve">бежевый, серо-бежевый светлый</t>
        </is>
      </c>
      <c r="F118" t="inlineStr">
        <is>
          <t xml:space="preserve">50</t>
        </is>
      </c>
      <c r="G118">
        <v>20</v>
      </c>
      <c r="H118" s="2">
        <v>34.0</v>
      </c>
      <c r="I118" t="inlineStr">
        <is>
          <t xml:space="preserve">Вискоза 75%, Нейлон 21%, Эластан 4%</t>
        </is>
      </c>
      <c r="J118" t="inlineStr">
        <is>
          <t xml:space="preserve">демисезон</t>
        </is>
      </c>
      <c r="K118" t="inlineStr">
        <is>
          <t xml:space="preserve">Бангладеш</t>
        </is>
      </c>
      <c r="L118" t="inlineStr">
        <is>
          <t xml:space="preserve">6204631800</t>
        </is>
      </c>
      <c r="M118" t="inlineStr">
        <is>
          <t xml:space="preserve">Декларация № ЕАЭС № BY/112 11.01. ТР017 122.01 08246, до 19.04.2028</t>
        </is>
      </c>
      <c r="N118" t="inlineStr">
        <is>
          <t xml:space="preserve">30 × 24 × 2</t>
        </is>
      </c>
      <c r="O118" t="inlineStr">
        <is>
          <t xml:space="preserve">0,4</t>
        </is>
      </c>
      <c r="P118" t="inlineStr">
        <is>
          <t xml:space="preserve">4816148157430</t>
        </is>
      </c>
      <c r="Q118" s="3" t="str">
        <f>HYPERLINK("https://modify.by/img/348649885/1.webp","фото")</f>
        <v>фото</v>
      </c>
      <c r="R118" s="3" t="str">
        <f>HYPERLINK("https://modify.by/catalog/bryuki/348649885/?utm_source=price&amp;utm_medium=xlsx","открыть")</f>
        <v>открыть</v>
      </c>
    </row>
    <row r="119">
      <c r="A119" t="inlineStr">
        <is>
          <t xml:space="preserve">Женский</t>
        </is>
      </c>
      <c r="B119" t="inlineStr">
        <is>
          <t xml:space="preserve">Брюки</t>
        </is>
      </c>
      <c r="C119" t="inlineStr">
        <is>
          <t xml:space="preserve">Брюки укороченные скинни стрейч черные из вискозы</t>
        </is>
      </c>
      <c r="D119" t="inlineStr">
        <is>
          <t xml:space="preserve">PA52W02черный</t>
        </is>
      </c>
      <c r="E119" t="inlineStr">
        <is>
          <t xml:space="preserve">черный</t>
        </is>
      </c>
      <c r="F119" t="inlineStr">
        <is>
          <t xml:space="preserve">48</t>
        </is>
      </c>
      <c r="G119">
        <v>25</v>
      </c>
      <c r="H119" s="2">
        <v>34.0</v>
      </c>
      <c r="I119" t="inlineStr">
        <is>
          <t xml:space="preserve">Вискоза 75%, нейлон 21%, Эластан 4%</t>
        </is>
      </c>
      <c r="J119" t="inlineStr">
        <is>
          <t xml:space="preserve">демисезон</t>
        </is>
      </c>
      <c r="K119" t="inlineStr">
        <is>
          <t xml:space="preserve">Бангладеш</t>
        </is>
      </c>
      <c r="L119" t="inlineStr">
        <is>
          <t xml:space="preserve">6204631800</t>
        </is>
      </c>
      <c r="M119" t="inlineStr">
        <is>
          <t xml:space="preserve">Декларация № ЕАЭС № BY/112 11.01. ТР017 122.01 08246, до 19.04.2028</t>
        </is>
      </c>
      <c r="N119" t="inlineStr">
        <is>
          <t xml:space="preserve">30 × 24 × 2</t>
        </is>
      </c>
      <c r="O119" t="inlineStr">
        <is>
          <t xml:space="preserve">0,4</t>
        </is>
      </c>
      <c r="P119" t="inlineStr">
        <is>
          <t xml:space="preserve">4816148157362</t>
        </is>
      </c>
      <c r="Q119" s="3" t="str">
        <f>HYPERLINK("https://modify.by/img/348649882/1.webp","фото")</f>
        <v>фото</v>
      </c>
      <c r="R119" s="3" t="str">
        <f>HYPERLINK("https://modify.by/catalog/bryuki/348649882/?utm_source=price&amp;utm_medium=xlsx","открыть")</f>
        <v>открыть</v>
      </c>
    </row>
    <row r="120">
      <c r="A120" t="inlineStr">
        <is>
          <t xml:space="preserve">Женский</t>
        </is>
      </c>
      <c r="B120" t="inlineStr">
        <is>
          <t xml:space="preserve">Брюки</t>
        </is>
      </c>
      <c r="C120" t="inlineStr">
        <is>
          <t xml:space="preserve">Брюки укороченные скинни стрейч черные из вискозы</t>
        </is>
      </c>
      <c r="D120" t="inlineStr">
        <is>
          <t xml:space="preserve">PA52W02черный</t>
        </is>
      </c>
      <c r="E120" t="inlineStr">
        <is>
          <t xml:space="preserve">черный</t>
        </is>
      </c>
      <c r="F120" t="inlineStr">
        <is>
          <t xml:space="preserve">50</t>
        </is>
      </c>
      <c r="G120">
        <v>2</v>
      </c>
      <c r="H120" s="2">
        <v>34.0</v>
      </c>
      <c r="I120" t="inlineStr">
        <is>
          <t xml:space="preserve">Вискоза 75%, нейлон 21%, Эластан 4%</t>
        </is>
      </c>
      <c r="J120" t="inlineStr">
        <is>
          <t xml:space="preserve">демисезон</t>
        </is>
      </c>
      <c r="K120" t="inlineStr">
        <is>
          <t xml:space="preserve">Бангладеш</t>
        </is>
      </c>
      <c r="L120" t="inlineStr">
        <is>
          <t xml:space="preserve">6204631800</t>
        </is>
      </c>
      <c r="M120" t="inlineStr">
        <is>
          <t xml:space="preserve">Декларация № ЕАЭС № BY/112 11.01. ТР017 122.01 08246, до 19.04.2028</t>
        </is>
      </c>
      <c r="N120" t="inlineStr">
        <is>
          <t xml:space="preserve">30 × 24 × 2</t>
        </is>
      </c>
      <c r="O120" t="inlineStr">
        <is>
          <t xml:space="preserve">0,4</t>
        </is>
      </c>
      <c r="P120" t="inlineStr">
        <is>
          <t xml:space="preserve">4816148157379</t>
        </is>
      </c>
      <c r="Q120" s="3" t="str">
        <f>HYPERLINK("https://modify.by/img/348649882/1.webp","фото")</f>
        <v>фото</v>
      </c>
      <c r="R120" s="3" t="str">
        <f>HYPERLINK("https://modify.by/catalog/bryuki/348649882/?utm_source=price&amp;utm_medium=xlsx","открыть")</f>
        <v>открыть</v>
      </c>
    </row>
    <row r="121">
      <c r="A121" t="inlineStr">
        <is>
          <t xml:space="preserve">Женский</t>
        </is>
      </c>
      <c r="B121" t="inlineStr">
        <is>
          <t xml:space="preserve">Брюки</t>
        </is>
      </c>
      <c r="C121" t="inlineStr">
        <is>
          <t xml:space="preserve">Брюки чинос классические хлопок</t>
        </is>
      </c>
      <c r="D121" t="inlineStr">
        <is>
          <t xml:space="preserve">PA42W01хаки</t>
        </is>
      </c>
      <c r="E121" t="inlineStr">
        <is>
          <t xml:space="preserve">хаки</t>
        </is>
      </c>
      <c r="F121" t="inlineStr">
        <is>
          <t xml:space="preserve">44</t>
        </is>
      </c>
      <c r="G121">
        <v>82</v>
      </c>
      <c r="H121" s="2">
        <v>40.0</v>
      </c>
      <c r="I121" t="inlineStr">
        <is>
          <t xml:space="preserve">хлопок</t>
        </is>
      </c>
      <c r="J121" t="inlineStr">
        <is>
          <t xml:space="preserve">демисезон</t>
        </is>
      </c>
      <c r="K121" t="inlineStr">
        <is>
          <t xml:space="preserve">Бангладеш</t>
        </is>
      </c>
      <c r="L121" t="inlineStr">
        <is>
          <t xml:space="preserve">6204623900</t>
        </is>
      </c>
      <c r="M121" t="inlineStr">
        <is>
          <t xml:space="preserve">Декларация № ЕАЭС № BY/112 11.01. ТР017 122.01 08246, до 19.04.2028</t>
        </is>
      </c>
      <c r="N121" t="inlineStr">
        <is>
          <t xml:space="preserve">32 × 31 × 4</t>
        </is>
      </c>
      <c r="O121" t="inlineStr">
        <is>
          <t xml:space="preserve">0,39</t>
        </is>
      </c>
      <c r="P121" t="inlineStr">
        <is>
          <t xml:space="preserve">4816148105394</t>
        </is>
      </c>
      <c r="Q121" s="3" t="str">
        <f>HYPERLINK("https://modify.by/img/239186194/1.webp","фото")</f>
        <v>фото</v>
      </c>
      <c r="R121" s="3" t="str">
        <f>HYPERLINK("https://modify.by/catalog/bryuki/239186194/?utm_source=price&amp;utm_medium=xlsx","открыть")</f>
        <v>открыть</v>
      </c>
    </row>
    <row r="122">
      <c r="A122" t="inlineStr">
        <is>
          <t xml:space="preserve">Женский</t>
        </is>
      </c>
      <c r="B122" t="inlineStr">
        <is>
          <t xml:space="preserve">Брюки</t>
        </is>
      </c>
      <c r="C122" t="inlineStr">
        <is>
          <t xml:space="preserve">Брюки чинос классические хлопок</t>
        </is>
      </c>
      <c r="D122" t="inlineStr">
        <is>
          <t xml:space="preserve">PA42W01хаки</t>
        </is>
      </c>
      <c r="E122" t="inlineStr">
        <is>
          <t xml:space="preserve">хаки</t>
        </is>
      </c>
      <c r="F122" t="inlineStr">
        <is>
          <t xml:space="preserve">46</t>
        </is>
      </c>
      <c r="G122">
        <v>46</v>
      </c>
      <c r="H122" s="2">
        <v>40.0</v>
      </c>
      <c r="I122" t="inlineStr">
        <is>
          <t xml:space="preserve">хлопок</t>
        </is>
      </c>
      <c r="J122" t="inlineStr">
        <is>
          <t xml:space="preserve">демисезон</t>
        </is>
      </c>
      <c r="K122" t="inlineStr">
        <is>
          <t xml:space="preserve">Бангладеш</t>
        </is>
      </c>
      <c r="L122" t="inlineStr">
        <is>
          <t xml:space="preserve">6204623900</t>
        </is>
      </c>
      <c r="M122" t="inlineStr">
        <is>
          <t xml:space="preserve">Декларация № ЕАЭС № BY/112 11.01. ТР017 122.01 08246, до 19.04.2028</t>
        </is>
      </c>
      <c r="N122" t="inlineStr">
        <is>
          <t xml:space="preserve">32 × 31 × 4</t>
        </is>
      </c>
      <c r="O122" t="inlineStr">
        <is>
          <t xml:space="preserve">0,39</t>
        </is>
      </c>
      <c r="P122" t="inlineStr">
        <is>
          <t xml:space="preserve">4816148105400</t>
        </is>
      </c>
      <c r="Q122" s="3" t="str">
        <f>HYPERLINK("https://modify.by/img/239186194/1.webp","фото")</f>
        <v>фото</v>
      </c>
      <c r="R122" s="3" t="str">
        <f>HYPERLINK("https://modify.by/catalog/bryuki/239186194/?utm_source=price&amp;utm_medium=xlsx","открыть")</f>
        <v>открыть</v>
      </c>
    </row>
    <row r="123">
      <c r="A123" t="inlineStr">
        <is>
          <t xml:space="preserve">Женский</t>
        </is>
      </c>
      <c r="B123" t="inlineStr">
        <is>
          <t xml:space="preserve">Брюки</t>
        </is>
      </c>
      <c r="C123" t="inlineStr">
        <is>
          <t xml:space="preserve">Брюки чинос летние больших размеров</t>
        </is>
      </c>
      <c r="D123" t="inlineStr">
        <is>
          <t xml:space="preserve">PA42W04полынь</t>
        </is>
      </c>
      <c r="E123" t="inlineStr">
        <is>
          <t xml:space="preserve">полынь</t>
        </is>
      </c>
      <c r="F123" t="inlineStr">
        <is>
          <t xml:space="preserve">48</t>
        </is>
      </c>
      <c r="G123">
        <v>1</v>
      </c>
      <c r="H123" s="2">
        <v>39.0</v>
      </c>
      <c r="I123" t="inlineStr">
        <is>
          <t xml:space="preserve">хлопок 62%, вискоза 35%, эластан 3%</t>
        </is>
      </c>
      <c r="J123" t="inlineStr">
        <is>
          <t xml:space="preserve">демисезон</t>
        </is>
      </c>
      <c r="K123" t="inlineStr">
        <is>
          <t xml:space="preserve">Бангладеш</t>
        </is>
      </c>
      <c r="L123" t="inlineStr">
        <is>
          <t xml:space="preserve">6204623900</t>
        </is>
      </c>
      <c r="M123" t="inlineStr">
        <is>
          <t xml:space="preserve">Декларация № ЕАЭС № BY/112 11.01. ТР017 122.01 08246, до 19.04.2028</t>
        </is>
      </c>
      <c r="N123" t="inlineStr">
        <is>
          <t xml:space="preserve">33 × 22 × 2</t>
        </is>
      </c>
      <c r="O123" t="inlineStr">
        <is>
          <t xml:space="preserve">0,42</t>
        </is>
      </c>
      <c r="P123" t="inlineStr">
        <is>
          <t xml:space="preserve">4816148103598</t>
        </is>
      </c>
      <c r="Q123" s="3" t="str">
        <f>HYPERLINK("https://modify.by/img/234681644/1.webp","фото")</f>
        <v>фото</v>
      </c>
      <c r="R123" s="3" t="str">
        <f>HYPERLINK("https://modify.by/catalog/bryuki/234681644/?utm_source=price&amp;utm_medium=xlsx","открыть")</f>
        <v>открыть</v>
      </c>
    </row>
    <row r="124">
      <c r="A124" t="inlineStr">
        <is>
          <t xml:space="preserve">Женский</t>
        </is>
      </c>
      <c r="B124" t="inlineStr">
        <is>
          <t xml:space="preserve">Брюки</t>
        </is>
      </c>
      <c r="C124" t="inlineStr">
        <is>
          <t xml:space="preserve">Брюки чиносы летние укороченные хлопок</t>
        </is>
      </c>
      <c r="D124" t="inlineStr">
        <is>
          <t xml:space="preserve">PA42W01пыльная роза</t>
        </is>
      </c>
      <c r="E124" t="inlineStr">
        <is>
          <t xml:space="preserve">пыльная роза</t>
        </is>
      </c>
      <c r="F124" t="inlineStr">
        <is>
          <t xml:space="preserve">44</t>
        </is>
      </c>
      <c r="G124">
        <v>11</v>
      </c>
      <c r="H124" s="2">
        <v>40.0</v>
      </c>
      <c r="I124" t="inlineStr">
        <is>
          <t xml:space="preserve">хлопок</t>
        </is>
      </c>
      <c r="J124" t="inlineStr">
        <is>
          <t xml:space="preserve">демисезон</t>
        </is>
      </c>
      <c r="K124" t="inlineStr">
        <is>
          <t xml:space="preserve">Бангладеш</t>
        </is>
      </c>
      <c r="L124" t="inlineStr">
        <is>
          <t xml:space="preserve">6204623900</t>
        </is>
      </c>
      <c r="M124" t="inlineStr">
        <is>
          <t xml:space="preserve">Декларация № ЕАЭС № BY/112 11.01. ТР017 122.01 08246, до 19.04.2028</t>
        </is>
      </c>
      <c r="N124" t="inlineStr">
        <is>
          <t xml:space="preserve">34 × 26 × 3</t>
        </is>
      </c>
      <c r="O124" t="inlineStr">
        <is>
          <t xml:space="preserve">0,39</t>
        </is>
      </c>
      <c r="P124" t="inlineStr">
        <is>
          <t xml:space="preserve">4816148105257</t>
        </is>
      </c>
      <c r="Q124" s="3" t="str">
        <f>HYPERLINK("https://modify.by/img/239186192/1.webp","фото")</f>
        <v>фото</v>
      </c>
      <c r="R124" s="3" t="str">
        <f>HYPERLINK("https://modify.by/catalog/bryuki/239186192/?utm_source=price&amp;utm_medium=xlsx","открыть")</f>
        <v>открыть</v>
      </c>
    </row>
    <row r="125">
      <c r="A125" t="inlineStr">
        <is>
          <t xml:space="preserve">Женский</t>
        </is>
      </c>
      <c r="B125" t="inlineStr">
        <is>
          <t xml:space="preserve">Брюки</t>
        </is>
      </c>
      <c r="C125" t="inlineStr">
        <is>
          <t xml:space="preserve">Брюки, песочный, арт. PA02W3**Песочный</t>
        </is>
      </c>
      <c r="D125" t="inlineStr">
        <is>
          <t xml:space="preserve">PA02W3**Песочный</t>
        </is>
      </c>
      <c r="E125" t="inlineStr">
        <is>
          <t xml:space="preserve">песочный</t>
        </is>
      </c>
      <c r="F125" t="inlineStr">
        <is>
          <t xml:space="preserve">42</t>
        </is>
      </c>
      <c r="G125">
        <v>1</v>
      </c>
      <c r="H125" s="2">
        <v>37.0</v>
      </c>
      <c r="I125" t="inlineStr">
        <is>
          <t xml:space="preserve">хлопок 72%, эластан 3%, вискоза 25%</t>
        </is>
      </c>
      <c r="J125" t="inlineStr">
        <is>
          <t xml:space="preserve">круглогодичный</t>
        </is>
      </c>
      <c r="K125" t="inlineStr">
        <is>
          <t xml:space="preserve">Бангладеш</t>
        </is>
      </c>
      <c r="L125" t="inlineStr">
        <is>
          <t xml:space="preserve">6203411000</t>
        </is>
      </c>
      <c r="M125" t="inlineStr">
        <is>
          <t xml:space="preserve">по запросу</t>
        </is>
      </c>
      <c r="N125"/>
      <c r="O125"/>
      <c r="P125" t="inlineStr">
        <is>
          <t xml:space="preserve">8595633702824</t>
        </is>
      </c>
      <c r="Q125" s="3" t="str">
        <f>HYPERLINK("https://modify.by/img/66362408/1.webp","фото")</f>
        <v>фото</v>
      </c>
      <c r="R125" s="3" t="str">
        <f>HYPERLINK("https://modify.by/catalog/bryuki/66362408/?utm_source=price&amp;utm_medium=xlsx","открыть")</f>
        <v>открыть</v>
      </c>
    </row>
    <row r="126">
      <c r="A126" t="inlineStr">
        <is>
          <t xml:space="preserve">Женский</t>
        </is>
      </c>
      <c r="B126" t="inlineStr">
        <is>
          <t xml:space="preserve">Брюки</t>
        </is>
      </c>
      <c r="C126" t="inlineStr">
        <is>
          <t xml:space="preserve">Брюки, песочный, арт. PA02W3**Песочный</t>
        </is>
      </c>
      <c r="D126" t="inlineStr">
        <is>
          <t xml:space="preserve">PA02W3**Песочный</t>
        </is>
      </c>
      <c r="E126" t="inlineStr">
        <is>
          <t xml:space="preserve">песочный</t>
        </is>
      </c>
      <c r="F126" t="inlineStr">
        <is>
          <t xml:space="preserve">44</t>
        </is>
      </c>
      <c r="G126">
        <v>2</v>
      </c>
      <c r="H126" s="2">
        <v>37.0</v>
      </c>
      <c r="I126" t="inlineStr">
        <is>
          <t xml:space="preserve">хлопок 72%, эластан 3%, вискоза 25%</t>
        </is>
      </c>
      <c r="J126" t="inlineStr">
        <is>
          <t xml:space="preserve">круглогодичный</t>
        </is>
      </c>
      <c r="K126" t="inlineStr">
        <is>
          <t xml:space="preserve">Бангладеш</t>
        </is>
      </c>
      <c r="L126" t="inlineStr">
        <is>
          <t xml:space="preserve">6203411000</t>
        </is>
      </c>
      <c r="M126" t="inlineStr">
        <is>
          <t xml:space="preserve">по запросу</t>
        </is>
      </c>
      <c r="N126"/>
      <c r="O126"/>
      <c r="P126" t="inlineStr">
        <is>
          <t xml:space="preserve">4816148177728</t>
        </is>
      </c>
      <c r="Q126" s="3" t="str">
        <f>HYPERLINK("https://modify.by/img/66362408/1.webp","фото")</f>
        <v>фото</v>
      </c>
      <c r="R126" s="3" t="str">
        <f>HYPERLINK("https://modify.by/catalog/bryuki/66362408/?utm_source=price&amp;utm_medium=xlsx","открыть")</f>
        <v>открыть</v>
      </c>
    </row>
    <row r="127">
      <c r="A127" t="inlineStr">
        <is>
          <t xml:space="preserve">Женский</t>
        </is>
      </c>
      <c r="B127" t="inlineStr">
        <is>
          <t xml:space="preserve">Брюки</t>
        </is>
      </c>
      <c r="C127" t="inlineStr">
        <is>
          <t xml:space="preserve">Брюки, песочный, арт. PA02W3**Песочный</t>
        </is>
      </c>
      <c r="D127" t="inlineStr">
        <is>
          <t xml:space="preserve">PA02W3**Песочный</t>
        </is>
      </c>
      <c r="E127" t="inlineStr">
        <is>
          <t xml:space="preserve">песочный</t>
        </is>
      </c>
      <c r="F127" t="inlineStr">
        <is>
          <t xml:space="preserve">44</t>
        </is>
      </c>
      <c r="G127">
        <v>2</v>
      </c>
      <c r="H127" s="2">
        <v>37.0</v>
      </c>
      <c r="I127" t="inlineStr">
        <is>
          <t xml:space="preserve">хлопок 72%, эластан 3%, вискоза 25%</t>
        </is>
      </c>
      <c r="J127" t="inlineStr">
        <is>
          <t xml:space="preserve">круглогодичный</t>
        </is>
      </c>
      <c r="K127" t="inlineStr">
        <is>
          <t xml:space="preserve">Бангладеш</t>
        </is>
      </c>
      <c r="L127" t="inlineStr">
        <is>
          <t xml:space="preserve">6203411000</t>
        </is>
      </c>
      <c r="M127" t="inlineStr">
        <is>
          <t xml:space="preserve">по запросу</t>
        </is>
      </c>
      <c r="N127"/>
      <c r="O127"/>
      <c r="P127" t="inlineStr">
        <is>
          <t xml:space="preserve">8595633702831</t>
        </is>
      </c>
      <c r="Q127" s="3" t="str">
        <f>HYPERLINK("https://modify.by/img/66362408/1.webp","фото")</f>
        <v>фото</v>
      </c>
      <c r="R127" s="3" t="str">
        <f>HYPERLINK("https://modify.by/catalog/bryuki/66362408/?utm_source=price&amp;utm_medium=xlsx","открыть")</f>
        <v>открыть</v>
      </c>
    </row>
    <row r="128">
      <c r="A128" t="inlineStr">
        <is>
          <t xml:space="preserve">Женский</t>
        </is>
      </c>
      <c r="B128" t="inlineStr">
        <is>
          <t xml:space="preserve">Брюки</t>
        </is>
      </c>
      <c r="C128" t="inlineStr">
        <is>
          <t xml:space="preserve">Брюки, песочный, арт. PA02W3**Песочный</t>
        </is>
      </c>
      <c r="D128" t="inlineStr">
        <is>
          <t xml:space="preserve">PA02W3**Песочный</t>
        </is>
      </c>
      <c r="E128" t="inlineStr">
        <is>
          <t xml:space="preserve">песочный</t>
        </is>
      </c>
      <c r="F128" t="inlineStr">
        <is>
          <t xml:space="preserve">46</t>
        </is>
      </c>
      <c r="G128">
        <v>1</v>
      </c>
      <c r="H128" s="2">
        <v>37.0</v>
      </c>
      <c r="I128" t="inlineStr">
        <is>
          <t xml:space="preserve">хлопок 72%, эластан 3%, вискоза 25%</t>
        </is>
      </c>
      <c r="J128" t="inlineStr">
        <is>
          <t xml:space="preserve">круглогодичный</t>
        </is>
      </c>
      <c r="K128" t="inlineStr">
        <is>
          <t xml:space="preserve">Бангладеш</t>
        </is>
      </c>
      <c r="L128" t="inlineStr">
        <is>
          <t xml:space="preserve">6203411000</t>
        </is>
      </c>
      <c r="M128" t="inlineStr">
        <is>
          <t xml:space="preserve">по запросу</t>
        </is>
      </c>
      <c r="N128"/>
      <c r="O128"/>
      <c r="P128" t="inlineStr">
        <is>
          <t xml:space="preserve">8595633702848</t>
        </is>
      </c>
      <c r="Q128" s="3" t="str">
        <f>HYPERLINK("https://modify.by/img/66362408/1.webp","фото")</f>
        <v>фото</v>
      </c>
      <c r="R128" s="3" t="str">
        <f>HYPERLINK("https://modify.by/catalog/bryuki/66362408/?utm_source=price&amp;utm_medium=xlsx","открыть")</f>
        <v>открыть</v>
      </c>
    </row>
    <row r="129">
      <c r="A129" t="inlineStr">
        <is>
          <t xml:space="preserve">Женский</t>
        </is>
      </c>
      <c r="B129" t="inlineStr">
        <is>
          <t xml:space="preserve">Брюки</t>
        </is>
      </c>
      <c r="C129" t="inlineStr">
        <is>
          <t xml:space="preserve">Джинсы белые скинни стрейч брюки летние</t>
        </is>
      </c>
      <c r="D129" t="inlineStr">
        <is>
          <t xml:space="preserve">JE42W01белый</t>
        </is>
      </c>
      <c r="E129" t="inlineStr">
        <is>
          <t xml:space="preserve">белый</t>
        </is>
      </c>
      <c r="F129" t="inlineStr">
        <is>
          <t xml:space="preserve">42</t>
        </is>
      </c>
      <c r="G129">
        <v>1</v>
      </c>
      <c r="H129" s="2">
        <v>37.0</v>
      </c>
      <c r="I129" t="inlineStr">
        <is>
          <t xml:space="preserve">хлопок 60%, полиэстер 38%, эластан 2%</t>
        </is>
      </c>
      <c r="J129" t="inlineStr">
        <is>
          <t xml:space="preserve">демисезон</t>
        </is>
      </c>
      <c r="K129" t="inlineStr">
        <is>
          <t xml:space="preserve">Бангладеш</t>
        </is>
      </c>
      <c r="L129" t="inlineStr">
        <is>
          <t xml:space="preserve">6204623100</t>
        </is>
      </c>
      <c r="M129" t="inlineStr">
        <is>
          <t xml:space="preserve">Декларация № ЕАЭС № BY/112 11.01. ТР017 122.01 08246, до 19.04.2028</t>
        </is>
      </c>
      <c r="N129" t="inlineStr">
        <is>
          <t xml:space="preserve">32 × 22 × 2</t>
        </is>
      </c>
      <c r="O129" t="inlineStr">
        <is>
          <t xml:space="preserve">0,48</t>
        </is>
      </c>
      <c r="P129" t="inlineStr">
        <is>
          <t xml:space="preserve">4816148101037</t>
        </is>
      </c>
      <c r="Q129" s="3" t="str">
        <f>HYPERLINK("https://modify.by/img/234682262/1.webp","фото")</f>
        <v>фото</v>
      </c>
      <c r="R129" s="3" t="str">
        <f>HYPERLINK("https://modify.by/catalog/bryuki/234682262/?utm_source=price&amp;utm_medium=xlsx","открыть")</f>
        <v>открыть</v>
      </c>
    </row>
    <row r="130">
      <c r="A130" t="inlineStr">
        <is>
          <t xml:space="preserve">Женский</t>
        </is>
      </c>
      <c r="B130" t="inlineStr">
        <is>
          <t xml:space="preserve">Брюки</t>
        </is>
      </c>
      <c r="C130" t="inlineStr">
        <is>
          <t xml:space="preserve">Джинсы белые скинни стрейч брюки летние</t>
        </is>
      </c>
      <c r="D130" t="inlineStr">
        <is>
          <t xml:space="preserve">JE42W01белый</t>
        </is>
      </c>
      <c r="E130" t="inlineStr">
        <is>
          <t xml:space="preserve">белый</t>
        </is>
      </c>
      <c r="F130" t="inlineStr">
        <is>
          <t xml:space="preserve">44</t>
        </is>
      </c>
      <c r="G130">
        <v>15</v>
      </c>
      <c r="H130" s="2">
        <v>37.0</v>
      </c>
      <c r="I130" t="inlineStr">
        <is>
          <t xml:space="preserve">хлопок 60%, полиэстер 38%, эластан 2%</t>
        </is>
      </c>
      <c r="J130" t="inlineStr">
        <is>
          <t xml:space="preserve">демисезон</t>
        </is>
      </c>
      <c r="K130" t="inlineStr">
        <is>
          <t xml:space="preserve">Бангладеш</t>
        </is>
      </c>
      <c r="L130" t="inlineStr">
        <is>
          <t xml:space="preserve">6204623100</t>
        </is>
      </c>
      <c r="M130" t="inlineStr">
        <is>
          <t xml:space="preserve">Декларация № ЕАЭС № BY/112 11.01. ТР017 122.01 08246, до 19.04.2028</t>
        </is>
      </c>
      <c r="N130" t="inlineStr">
        <is>
          <t xml:space="preserve">32 × 22 × 2</t>
        </is>
      </c>
      <c r="O130" t="inlineStr">
        <is>
          <t xml:space="preserve">0,48</t>
        </is>
      </c>
      <c r="P130" t="inlineStr">
        <is>
          <t xml:space="preserve">4816148101044</t>
        </is>
      </c>
      <c r="Q130" s="3" t="str">
        <f>HYPERLINK("https://modify.by/img/234682262/1.webp","фото")</f>
        <v>фото</v>
      </c>
      <c r="R130" s="3" t="str">
        <f>HYPERLINK("https://modify.by/catalog/bryuki/234682262/?utm_source=price&amp;utm_medium=xlsx","открыть")</f>
        <v>открыть</v>
      </c>
    </row>
    <row r="131">
      <c r="A131" t="inlineStr">
        <is>
          <t xml:space="preserve">Женский</t>
        </is>
      </c>
      <c r="B131" t="inlineStr">
        <is>
          <t xml:space="preserve">Брюки</t>
        </is>
      </c>
      <c r="C131" t="inlineStr">
        <is>
          <t xml:space="preserve">Джинсы белые скинни стрейч брюки летние</t>
        </is>
      </c>
      <c r="D131" t="inlineStr">
        <is>
          <t xml:space="preserve">JE42W01белый</t>
        </is>
      </c>
      <c r="E131" t="inlineStr">
        <is>
          <t xml:space="preserve">белый</t>
        </is>
      </c>
      <c r="F131" t="inlineStr">
        <is>
          <t xml:space="preserve">46</t>
        </is>
      </c>
      <c r="G131">
        <v>27</v>
      </c>
      <c r="H131" s="2">
        <v>37.0</v>
      </c>
      <c r="I131" t="inlineStr">
        <is>
          <t xml:space="preserve">хлопок 60%, полиэстер 38%, эластан 2%</t>
        </is>
      </c>
      <c r="J131" t="inlineStr">
        <is>
          <t xml:space="preserve">демисезон</t>
        </is>
      </c>
      <c r="K131" t="inlineStr">
        <is>
          <t xml:space="preserve">Бангладеш</t>
        </is>
      </c>
      <c r="L131" t="inlineStr">
        <is>
          <t xml:space="preserve">6204623100</t>
        </is>
      </c>
      <c r="M131" t="inlineStr">
        <is>
          <t xml:space="preserve">Декларация № ЕАЭС № BY/112 11.01. ТР017 122.01 08246, до 19.04.2028</t>
        </is>
      </c>
      <c r="N131" t="inlineStr">
        <is>
          <t xml:space="preserve">32 × 22 × 2</t>
        </is>
      </c>
      <c r="O131" t="inlineStr">
        <is>
          <t xml:space="preserve">0,48</t>
        </is>
      </c>
      <c r="P131" t="inlineStr">
        <is>
          <t xml:space="preserve">4816148101051</t>
        </is>
      </c>
      <c r="Q131" s="3" t="str">
        <f>HYPERLINK("https://modify.by/img/234682262/1.webp","фото")</f>
        <v>фото</v>
      </c>
      <c r="R131" s="3" t="str">
        <f>HYPERLINK("https://modify.by/catalog/bryuki/234682262/?utm_source=price&amp;utm_medium=xlsx","открыть")</f>
        <v>открыть</v>
      </c>
    </row>
    <row r="132">
      <c r="A132" t="inlineStr">
        <is>
          <t xml:space="preserve">Женский</t>
        </is>
      </c>
      <c r="B132" t="inlineStr">
        <is>
          <t xml:space="preserve">Брюки</t>
        </is>
      </c>
      <c r="C132" t="inlineStr">
        <is>
          <t xml:space="preserve">Джинсы белые скинни стрейч брюки летние</t>
        </is>
      </c>
      <c r="D132" t="inlineStr">
        <is>
          <t xml:space="preserve">JE42W01белый</t>
        </is>
      </c>
      <c r="E132" t="inlineStr">
        <is>
          <t xml:space="preserve">белый</t>
        </is>
      </c>
      <c r="F132" t="inlineStr">
        <is>
          <t xml:space="preserve">48</t>
        </is>
      </c>
      <c r="G132">
        <v>59</v>
      </c>
      <c r="H132" s="2">
        <v>37.0</v>
      </c>
      <c r="I132" t="inlineStr">
        <is>
          <t xml:space="preserve">хлопок 60%, полиэстер 38%, эластан 2%</t>
        </is>
      </c>
      <c r="J132" t="inlineStr">
        <is>
          <t xml:space="preserve">демисезон</t>
        </is>
      </c>
      <c r="K132" t="inlineStr">
        <is>
          <t xml:space="preserve">Бангладеш</t>
        </is>
      </c>
      <c r="L132" t="inlineStr">
        <is>
          <t xml:space="preserve">6204623100</t>
        </is>
      </c>
      <c r="M132" t="inlineStr">
        <is>
          <t xml:space="preserve">Декларация № ЕАЭС № BY/112 11.01. ТР017 122.01 08246, до 19.04.2028</t>
        </is>
      </c>
      <c r="N132" t="inlineStr">
        <is>
          <t xml:space="preserve">32 × 22 × 2</t>
        </is>
      </c>
      <c r="O132" t="inlineStr">
        <is>
          <t xml:space="preserve">0,48</t>
        </is>
      </c>
      <c r="P132" t="inlineStr">
        <is>
          <t xml:space="preserve">4816148101068</t>
        </is>
      </c>
      <c r="Q132" s="3" t="str">
        <f>HYPERLINK("https://modify.by/img/234682262/1.webp","фото")</f>
        <v>фото</v>
      </c>
      <c r="R132" s="3" t="str">
        <f>HYPERLINK("https://modify.by/catalog/bryuki/234682262/?utm_source=price&amp;utm_medium=xlsx","открыть")</f>
        <v>открыть</v>
      </c>
    </row>
    <row r="133">
      <c r="A133" t="inlineStr">
        <is>
          <t xml:space="preserve">Женский</t>
        </is>
      </c>
      <c r="B133" t="inlineStr">
        <is>
          <t xml:space="preserve">Брюки</t>
        </is>
      </c>
      <c r="C133" t="inlineStr">
        <is>
          <t xml:space="preserve">Джинсы белые скинни стрейч брюки летние</t>
        </is>
      </c>
      <c r="D133" t="inlineStr">
        <is>
          <t xml:space="preserve">JE42W01белый</t>
        </is>
      </c>
      <c r="E133" t="inlineStr">
        <is>
          <t xml:space="preserve">белый</t>
        </is>
      </c>
      <c r="F133" t="inlineStr">
        <is>
          <t xml:space="preserve">50</t>
        </is>
      </c>
      <c r="G133">
        <v>27</v>
      </c>
      <c r="H133" s="2">
        <v>37.0</v>
      </c>
      <c r="I133" t="inlineStr">
        <is>
          <t xml:space="preserve">хлопок 60%, полиэстер 38%, эластан 2%</t>
        </is>
      </c>
      <c r="J133" t="inlineStr">
        <is>
          <t xml:space="preserve">демисезон</t>
        </is>
      </c>
      <c r="K133" t="inlineStr">
        <is>
          <t xml:space="preserve">Бангладеш</t>
        </is>
      </c>
      <c r="L133" t="inlineStr">
        <is>
          <t xml:space="preserve">6204623100</t>
        </is>
      </c>
      <c r="M133" t="inlineStr">
        <is>
          <t xml:space="preserve">Декларация № ЕАЭС № BY/112 11.01. ТР017 122.01 08246, до 19.04.2028</t>
        </is>
      </c>
      <c r="N133" t="inlineStr">
        <is>
          <t xml:space="preserve">32 × 22 × 2</t>
        </is>
      </c>
      <c r="O133" t="inlineStr">
        <is>
          <t xml:space="preserve">0,48</t>
        </is>
      </c>
      <c r="P133" t="inlineStr">
        <is>
          <t xml:space="preserve">4816148101075</t>
        </is>
      </c>
      <c r="Q133" s="3" t="str">
        <f>HYPERLINK("https://modify.by/img/234682262/1.webp","фото")</f>
        <v>фото</v>
      </c>
      <c r="R133" s="3" t="str">
        <f>HYPERLINK("https://modify.by/catalog/bryuki/234682262/?utm_source=price&amp;utm_medium=xlsx","открыть")</f>
        <v>открыть</v>
      </c>
    </row>
    <row r="134">
      <c r="A134" t="inlineStr">
        <is>
          <t xml:space="preserve">Женский</t>
        </is>
      </c>
      <c r="B134" t="inlineStr">
        <is>
          <t xml:space="preserve">Брюки</t>
        </is>
      </c>
      <c r="C134" t="inlineStr">
        <is>
          <t xml:space="preserve">Джинсы белые скинни стрейч брюки летние</t>
        </is>
      </c>
      <c r="D134" t="inlineStr">
        <is>
          <t xml:space="preserve">JE42W01белый</t>
        </is>
      </c>
      <c r="E134" t="inlineStr">
        <is>
          <t xml:space="preserve">белый</t>
        </is>
      </c>
      <c r="F134" t="inlineStr">
        <is>
          <t xml:space="preserve">52</t>
        </is>
      </c>
      <c r="G134">
        <v>65</v>
      </c>
      <c r="H134" s="2">
        <v>37.0</v>
      </c>
      <c r="I134" t="inlineStr">
        <is>
          <t xml:space="preserve">хлопок 60%, полиэстер 38%, эластан 2%</t>
        </is>
      </c>
      <c r="J134" t="inlineStr">
        <is>
          <t xml:space="preserve">демисезон</t>
        </is>
      </c>
      <c r="K134" t="inlineStr">
        <is>
          <t xml:space="preserve">Бангладеш</t>
        </is>
      </c>
      <c r="L134" t="inlineStr">
        <is>
          <t xml:space="preserve">6204623100</t>
        </is>
      </c>
      <c r="M134" t="inlineStr">
        <is>
          <t xml:space="preserve">Декларация № ЕАЭС № BY/112 11.01. ТР017 122.01 08246, до 19.04.2028</t>
        </is>
      </c>
      <c r="N134" t="inlineStr">
        <is>
          <t xml:space="preserve">32 × 22 × 2</t>
        </is>
      </c>
      <c r="O134" t="inlineStr">
        <is>
          <t xml:space="preserve">0,48</t>
        </is>
      </c>
      <c r="P134" t="inlineStr">
        <is>
          <t xml:space="preserve">4816148101082</t>
        </is>
      </c>
      <c r="Q134" s="3" t="str">
        <f>HYPERLINK("https://modify.by/img/234682262/1.webp","фото")</f>
        <v>фото</v>
      </c>
      <c r="R134" s="3" t="str">
        <f>HYPERLINK("https://modify.by/catalog/bryuki/234682262/?utm_source=price&amp;utm_medium=xlsx","открыть")</f>
        <v>открыть</v>
      </c>
    </row>
    <row r="135">
      <c r="A135" t="inlineStr">
        <is>
          <t xml:space="preserve">Женский</t>
        </is>
      </c>
      <c r="B135" t="inlineStr">
        <is>
          <t xml:space="preserve">Брюки</t>
        </is>
      </c>
      <c r="C135" t="inlineStr">
        <is>
          <t xml:space="preserve">Джинсы белые скинни стрейч брюки летние</t>
        </is>
      </c>
      <c r="D135" t="inlineStr">
        <is>
          <t xml:space="preserve">JE42W01белый</t>
        </is>
      </c>
      <c r="E135" t="inlineStr">
        <is>
          <t xml:space="preserve">белый</t>
        </is>
      </c>
      <c r="F135" t="inlineStr">
        <is>
          <t xml:space="preserve">54</t>
        </is>
      </c>
      <c r="G135">
        <v>1</v>
      </c>
      <c r="H135" s="2">
        <v>37.0</v>
      </c>
      <c r="I135" t="inlineStr">
        <is>
          <t xml:space="preserve">хлопок 60%, полиэстер 38%, эластан 2%</t>
        </is>
      </c>
      <c r="J135" t="inlineStr">
        <is>
          <t xml:space="preserve">демисезон</t>
        </is>
      </c>
      <c r="K135" t="inlineStr">
        <is>
          <t xml:space="preserve">Бангладеш</t>
        </is>
      </c>
      <c r="L135" t="inlineStr">
        <is>
          <t xml:space="preserve">6204623100</t>
        </is>
      </c>
      <c r="M135" t="inlineStr">
        <is>
          <t xml:space="preserve">Декларация № ЕАЭС № BY/112 11.01. ТР017 122.01 08246, до 19.04.2028</t>
        </is>
      </c>
      <c r="N135" t="inlineStr">
        <is>
          <t xml:space="preserve">32 × 22 × 2</t>
        </is>
      </c>
      <c r="O135" t="inlineStr">
        <is>
          <t xml:space="preserve">0,48</t>
        </is>
      </c>
      <c r="P135" t="inlineStr">
        <is>
          <t xml:space="preserve">4816148101099</t>
        </is>
      </c>
      <c r="Q135" s="3" t="str">
        <f>HYPERLINK("https://modify.by/img/234682262/1.webp","фото")</f>
        <v>фото</v>
      </c>
      <c r="R135" s="3" t="str">
        <f>HYPERLINK("https://modify.by/catalog/bryuki/234682262/?utm_source=price&amp;utm_medium=xlsx","открыть")</f>
        <v>открыть</v>
      </c>
    </row>
    <row r="136">
      <c r="A136" t="inlineStr">
        <is>
          <t xml:space="preserve">Женский</t>
        </is>
      </c>
      <c r="B136" t="inlineStr">
        <is>
          <t xml:space="preserve">Брюки</t>
        </is>
      </c>
      <c r="C136" t="inlineStr">
        <is>
          <t xml:space="preserve">брюки женские с регулируемым поясом, песочный</t>
        </is>
      </c>
      <c r="D136" t="inlineStr">
        <is>
          <t xml:space="preserve">PA22W04Песочный</t>
        </is>
      </c>
      <c r="E136" t="inlineStr">
        <is>
          <t xml:space="preserve">песочный</t>
        </is>
      </c>
      <c r="F136" t="inlineStr">
        <is>
          <t xml:space="preserve">48-50</t>
        </is>
      </c>
      <c r="G136">
        <v>1</v>
      </c>
      <c r="H136" s="2">
        <v>31.0</v>
      </c>
      <c r="I136" t="inlineStr">
        <is>
          <t xml:space="preserve">хлопок 100%</t>
        </is>
      </c>
      <c r="J136" t="inlineStr">
        <is>
          <t xml:space="preserve">Демисезон</t>
        </is>
      </c>
      <c r="K136" t="inlineStr">
        <is>
          <t xml:space="preserve">Бангладеш</t>
        </is>
      </c>
      <c r="L136" t="inlineStr">
        <is>
          <t xml:space="preserve">6204623900</t>
        </is>
      </c>
      <c r="M136" t="inlineStr">
        <is>
          <t xml:space="preserve">по запросу</t>
        </is>
      </c>
      <c r="N136"/>
      <c r="O136"/>
      <c r="P136" t="inlineStr">
        <is>
          <t xml:space="preserve">2016957036922</t>
        </is>
      </c>
      <c r="Q136" s="3" t="str">
        <f>HYPERLINK("https://modify.by/img/96098783/1.webp","фото")</f>
        <v>фото</v>
      </c>
      <c r="R136" s="3" t="str">
        <f>HYPERLINK("https://modify.by/catalog/bryuki/96098783/?utm_source=price&amp;utm_medium=xlsx","открыть")</f>
        <v>открыть</v>
      </c>
    </row>
    <row r="137">
      <c r="A137" t="inlineStr">
        <is>
          <t xml:space="preserve">Женский</t>
        </is>
      </c>
      <c r="B137" t="inlineStr">
        <is>
          <t xml:space="preserve">Брюки</t>
        </is>
      </c>
      <c r="C137" t="inlineStr">
        <is>
          <t xml:space="preserve">брюки женские с регулируемым поясом, песочный</t>
        </is>
      </c>
      <c r="D137" t="inlineStr">
        <is>
          <t xml:space="preserve">PA22W04Песочный</t>
        </is>
      </c>
      <c r="E137" t="inlineStr">
        <is>
          <t xml:space="preserve">песочный</t>
        </is>
      </c>
      <c r="F137" t="inlineStr">
        <is>
          <t xml:space="preserve">54-56</t>
        </is>
      </c>
      <c r="G137">
        <v>1</v>
      </c>
      <c r="H137" s="2">
        <v>31.0</v>
      </c>
      <c r="I137" t="inlineStr">
        <is>
          <t xml:space="preserve">хлопок 100%</t>
        </is>
      </c>
      <c r="J137" t="inlineStr">
        <is>
          <t xml:space="preserve">Демисезон</t>
        </is>
      </c>
      <c r="K137" t="inlineStr">
        <is>
          <t xml:space="preserve">Бангладеш</t>
        </is>
      </c>
      <c r="L137" t="inlineStr">
        <is>
          <t xml:space="preserve">6204623900</t>
        </is>
      </c>
      <c r="M137" t="inlineStr">
        <is>
          <t xml:space="preserve">по запросу</t>
        </is>
      </c>
      <c r="N137"/>
      <c r="O137"/>
      <c r="P137" t="inlineStr">
        <is>
          <t xml:space="preserve">2016957036892</t>
        </is>
      </c>
      <c r="Q137" s="3" t="str">
        <f>HYPERLINK("https://modify.by/img/96098783/1.webp","фото")</f>
        <v>фото</v>
      </c>
      <c r="R137" s="3" t="str">
        <f>HYPERLINK("https://modify.by/catalog/bryuki/96098783/?utm_source=price&amp;utm_medium=xlsx","открыть")</f>
        <v>открыть</v>
      </c>
    </row>
    <row r="138">
      <c r="A138" t="inlineStr">
        <is>
          <t xml:space="preserve">Женский</t>
        </is>
      </c>
      <c r="B138" t="inlineStr">
        <is>
          <t xml:space="preserve">Брюки</t>
        </is>
      </c>
      <c r="C138" t="inlineStr">
        <is>
          <t xml:space="preserve">брюки женские с регулируемым поясом, темно-синий</t>
        </is>
      </c>
      <c r="D138" t="inlineStr">
        <is>
          <t xml:space="preserve">PA22W04Темно-синий</t>
        </is>
      </c>
      <c r="E138" t="inlineStr">
        <is>
          <t xml:space="preserve">темно-синий</t>
        </is>
      </c>
      <c r="F138" t="inlineStr">
        <is>
          <t xml:space="preserve">42-44</t>
        </is>
      </c>
      <c r="G138">
        <v>1</v>
      </c>
      <c r="H138" s="2">
        <v>31.0</v>
      </c>
      <c r="I138" t="inlineStr">
        <is>
          <t xml:space="preserve">хлопок 100%</t>
        </is>
      </c>
      <c r="J138" t="inlineStr">
        <is>
          <t xml:space="preserve">Демисезон</t>
        </is>
      </c>
      <c r="K138" t="inlineStr">
        <is>
          <t xml:space="preserve">Бангладеш</t>
        </is>
      </c>
      <c r="L138" t="inlineStr">
        <is>
          <t xml:space="preserve">6204623900</t>
        </is>
      </c>
      <c r="M138" t="inlineStr">
        <is>
          <t xml:space="preserve">по запросу</t>
        </is>
      </c>
      <c r="N138"/>
      <c r="O138"/>
      <c r="P138" t="inlineStr">
        <is>
          <t xml:space="preserve">2016957037028</t>
        </is>
      </c>
      <c r="Q138" s="3" t="str">
        <f>HYPERLINK("https://modify.by/img/96098784/1.webp","фото")</f>
        <v>фото</v>
      </c>
      <c r="R138" s="3" t="str">
        <f>HYPERLINK("https://modify.by/catalog/bryuki/96098784/?utm_source=price&amp;utm_medium=xlsx","открыть")</f>
        <v>открыть</v>
      </c>
    </row>
    <row r="139">
      <c r="A139" t="inlineStr">
        <is>
          <t xml:space="preserve">Женский</t>
        </is>
      </c>
      <c r="B139" t="inlineStr">
        <is>
          <t xml:space="preserve">Брюки</t>
        </is>
      </c>
      <c r="C139" t="inlineStr">
        <is>
          <t xml:space="preserve">брюки скинни высокая посадка</t>
        </is>
      </c>
      <c r="D139" t="inlineStr">
        <is>
          <t xml:space="preserve">PA32W03Темно-синий</t>
        </is>
      </c>
      <c r="E139" t="inlineStr">
        <is>
          <t xml:space="preserve">темно-синий</t>
        </is>
      </c>
      <c r="F139" t="inlineStr">
        <is>
          <t xml:space="preserve">46</t>
        </is>
      </c>
      <c r="G139">
        <v>1</v>
      </c>
      <c r="H139" s="2">
        <v>34.0</v>
      </c>
      <c r="I139" t="inlineStr">
        <is>
          <t xml:space="preserve">Хлопок 98% эластан 2%</t>
        </is>
      </c>
      <c r="J139" t="inlineStr">
        <is>
          <t xml:space="preserve">демисезон</t>
        </is>
      </c>
      <c r="K139" t="inlineStr">
        <is>
          <t xml:space="preserve">Бангладеш</t>
        </is>
      </c>
      <c r="L139" t="inlineStr">
        <is>
          <t xml:space="preserve">6204623900</t>
        </is>
      </c>
      <c r="M139" t="inlineStr">
        <is>
          <t xml:space="preserve">по запросу</t>
        </is>
      </c>
      <c r="N139" t="inlineStr">
        <is>
          <t xml:space="preserve">35 × 28 × 2</t>
        </is>
      </c>
      <c r="O139" t="inlineStr">
        <is>
          <t xml:space="preserve">0,38</t>
        </is>
      </c>
      <c r="P139" t="inlineStr">
        <is>
          <t xml:space="preserve">2026620777397</t>
        </is>
      </c>
      <c r="Q139" s="3" t="str">
        <f>HYPERLINK("https://modify.by/img/152405044/1.webp","фото")</f>
        <v>фото</v>
      </c>
      <c r="R139" s="3" t="str">
        <f>HYPERLINK("https://modify.by/catalog/bryuki/152405044/?utm_source=price&amp;utm_medium=xlsx","открыть")</f>
        <v>открыть</v>
      </c>
    </row>
    <row r="140">
      <c r="A140" t="inlineStr">
        <is>
          <t xml:space="preserve">Женский</t>
        </is>
      </c>
      <c r="B140" t="inlineStr">
        <is>
          <t xml:space="preserve">Брюки спортивные</t>
        </is>
      </c>
      <c r="C140" t="inlineStr">
        <is>
          <t xml:space="preserve">Спортивные штаны на резинке футр с начесом</t>
        </is>
      </c>
      <c r="D140" t="inlineStr">
        <is>
          <t xml:space="preserve">PA32W099молочный</t>
        </is>
      </c>
      <c r="E140" t="inlineStr">
        <is>
          <t xml:space="preserve">молочный</t>
        </is>
      </c>
      <c r="F140" t="inlineStr">
        <is>
          <t xml:space="preserve">44/158</t>
        </is>
      </c>
      <c r="G140">
        <v>1</v>
      </c>
      <c r="H140" s="2">
        <v>35.0</v>
      </c>
      <c r="I140" t="inlineStr">
        <is>
          <t xml:space="preserve">100% хлопок</t>
        </is>
      </c>
      <c r="J140" t="inlineStr">
        <is>
          <t xml:space="preserve">круглогодичный</t>
        </is>
      </c>
      <c r="K140" t="inlineStr">
        <is>
          <t xml:space="preserve">Бангладеш</t>
        </is>
      </c>
      <c r="L140" t="inlineStr">
        <is>
          <t xml:space="preserve">6204623900</t>
        </is>
      </c>
      <c r="M140" t="inlineStr">
        <is>
          <t xml:space="preserve">Декларация № ЕАЭС № BY/112 11.01. ТР017 122.01 08246, до 19.04.2028</t>
        </is>
      </c>
      <c r="N140" t="inlineStr">
        <is>
          <t xml:space="preserve">26 × 35 × 4</t>
        </is>
      </c>
      <c r="O140" t="inlineStr">
        <is>
          <t xml:space="preserve">0,7</t>
        </is>
      </c>
      <c r="P140" t="inlineStr">
        <is>
          <t xml:space="preserve">2038096193786</t>
        </is>
      </c>
      <c r="Q140" s="3" t="str">
        <f>HYPERLINK("https://modify.by/img/198251200/1.webp","фото")</f>
        <v>фото</v>
      </c>
      <c r="R140" s="3" t="str">
        <f>HYPERLINK("https://modify.by/catalog/bryuki-sportivnye/198251200/?utm_source=price&amp;utm_medium=xlsx","открыть")</f>
        <v>открыть</v>
      </c>
    </row>
    <row r="141">
      <c r="A141" t="inlineStr">
        <is>
          <t xml:space="preserve">Женский</t>
        </is>
      </c>
      <c r="B141" t="inlineStr">
        <is>
          <t xml:space="preserve">Брюки спортивные</t>
        </is>
      </c>
      <c r="C141" t="inlineStr">
        <is>
          <t xml:space="preserve">Утепленные спортивные палаццо с начесом, зеленый</t>
        </is>
      </c>
      <c r="D141" t="inlineStr">
        <is>
          <t xml:space="preserve">PA32W09зеленый</t>
        </is>
      </c>
      <c r="E141" t="inlineStr">
        <is>
          <t xml:space="preserve">зеленый</t>
        </is>
      </c>
      <c r="F141" t="inlineStr">
        <is>
          <t xml:space="preserve">46/164</t>
        </is>
      </c>
      <c r="G141">
        <v>1</v>
      </c>
      <c r="H141" s="2">
        <v>35.0</v>
      </c>
      <c r="I141" t="inlineStr">
        <is>
          <t xml:space="preserve">100% хлопок</t>
        </is>
      </c>
      <c r="J141" t="inlineStr">
        <is>
          <t xml:space="preserve">круглогодичный</t>
        </is>
      </c>
      <c r="K141" t="inlineStr">
        <is>
          <t xml:space="preserve">Бангладеш</t>
        </is>
      </c>
      <c r="L141" t="inlineStr">
        <is>
          <t xml:space="preserve">6204623900</t>
        </is>
      </c>
      <c r="M141" t="inlineStr">
        <is>
          <t xml:space="preserve">Декларация № ЕАЭС № BY/112 11.01. ТР017 122.01 08246, до 20.04.2028</t>
        </is>
      </c>
      <c r="N141" t="inlineStr">
        <is>
          <t xml:space="preserve">35 × 28 × 4</t>
        </is>
      </c>
      <c r="O141" t="inlineStr">
        <is>
          <t xml:space="preserve">0,8</t>
        </is>
      </c>
      <c r="P141" t="inlineStr">
        <is>
          <t xml:space="preserve">2038096187082</t>
        </is>
      </c>
      <c r="Q141" s="3" t="str">
        <f>HYPERLINK("https://modify.by/img/198200286/1.webp","фото")</f>
        <v>фото</v>
      </c>
      <c r="R141" s="3" t="str">
        <f>HYPERLINK("https://modify.by/catalog/bryuki-sportivnye/198200286/?utm_source=price&amp;utm_medium=xlsx","открыть")</f>
        <v>открыть</v>
      </c>
    </row>
    <row r="142">
      <c r="A142" t="inlineStr">
        <is>
          <t xml:space="preserve">Женский</t>
        </is>
      </c>
      <c r="B142" t="inlineStr">
        <is>
          <t xml:space="preserve">Брюки спортивные</t>
        </is>
      </c>
      <c r="C142" t="inlineStr">
        <is>
          <t xml:space="preserve">Утепленные спортивные палаццо с начесом, молочный</t>
        </is>
      </c>
      <c r="D142" t="inlineStr">
        <is>
          <t xml:space="preserve">PA32W09молочный</t>
        </is>
      </c>
      <c r="E142" t="inlineStr">
        <is>
          <t xml:space="preserve">молочный</t>
        </is>
      </c>
      <c r="F142" t="inlineStr">
        <is>
          <t xml:space="preserve">42/158</t>
        </is>
      </c>
      <c r="G142">
        <v>1</v>
      </c>
      <c r="H142" s="2">
        <v>35.0</v>
      </c>
      <c r="I142" t="inlineStr">
        <is>
          <t xml:space="preserve">100% хлопок</t>
        </is>
      </c>
      <c r="J142" t="inlineStr">
        <is>
          <t xml:space="preserve">круглогодичный</t>
        </is>
      </c>
      <c r="K142" t="inlineStr">
        <is>
          <t xml:space="preserve">Бангладеш</t>
        </is>
      </c>
      <c r="L142" t="inlineStr">
        <is>
          <t xml:space="preserve">6204623900</t>
        </is>
      </c>
      <c r="M142" t="inlineStr">
        <is>
          <t xml:space="preserve">Декларация № ЕАЭС № BY/112 11.01. ТР017 122.01 08246, до 19.04.2028</t>
        </is>
      </c>
      <c r="N142" t="inlineStr">
        <is>
          <t xml:space="preserve">35 × 28 × 4</t>
        </is>
      </c>
      <c r="O142" t="inlineStr">
        <is>
          <t xml:space="preserve">0,8</t>
        </is>
      </c>
      <c r="P142" t="inlineStr">
        <is>
          <t xml:space="preserve">2038096187617</t>
        </is>
      </c>
      <c r="Q142" s="3" t="str">
        <f>HYPERLINK("https://modify.by/img/198200281/1.webp","фото")</f>
        <v>фото</v>
      </c>
      <c r="R142" s="3" t="str">
        <f>HYPERLINK("https://modify.by/catalog/bryuki-sportivnye/198200281/?utm_source=price&amp;utm_medium=xlsx","открыть")</f>
        <v>открыть</v>
      </c>
    </row>
    <row r="143">
      <c r="A143" t="inlineStr">
        <is>
          <t xml:space="preserve">Женский</t>
        </is>
      </c>
      <c r="B143" t="inlineStr">
        <is>
          <t xml:space="preserve">Брюки спортивные</t>
        </is>
      </c>
      <c r="C143" t="inlineStr">
        <is>
          <t xml:space="preserve">Утепленные спортивные палаццо с начесом, молочный</t>
        </is>
      </c>
      <c r="D143" t="inlineStr">
        <is>
          <t xml:space="preserve">PA32W09молочный</t>
        </is>
      </c>
      <c r="E143" t="inlineStr">
        <is>
          <t xml:space="preserve">молочный</t>
        </is>
      </c>
      <c r="F143" t="inlineStr">
        <is>
          <t xml:space="preserve">44/158</t>
        </is>
      </c>
      <c r="G143">
        <v>1</v>
      </c>
      <c r="H143" s="2">
        <v>35.0</v>
      </c>
      <c r="I143" t="inlineStr">
        <is>
          <t xml:space="preserve">100% хлопок</t>
        </is>
      </c>
      <c r="J143" t="inlineStr">
        <is>
          <t xml:space="preserve">круглогодичный</t>
        </is>
      </c>
      <c r="K143" t="inlineStr">
        <is>
          <t xml:space="preserve">Бангладеш</t>
        </is>
      </c>
      <c r="L143" t="inlineStr">
        <is>
          <t xml:space="preserve">6204623900</t>
        </is>
      </c>
      <c r="M143" t="inlineStr">
        <is>
          <t xml:space="preserve">Декларация № ЕАЭС № BY/112 11.01. ТР017 122.01 08246, до 19.04.2028</t>
        </is>
      </c>
      <c r="N143" t="inlineStr">
        <is>
          <t xml:space="preserve">35 × 28 × 4</t>
        </is>
      </c>
      <c r="O143" t="inlineStr">
        <is>
          <t xml:space="preserve">0,8</t>
        </is>
      </c>
      <c r="P143" t="inlineStr">
        <is>
          <t xml:space="preserve">2038096187624</t>
        </is>
      </c>
      <c r="Q143" s="3" t="str">
        <f>HYPERLINK("https://modify.by/img/198200281/1.webp","фото")</f>
        <v>фото</v>
      </c>
      <c r="R143" s="3" t="str">
        <f>HYPERLINK("https://modify.by/catalog/bryuki-sportivnye/198200281/?utm_source=price&amp;utm_medium=xlsx","открыть")</f>
        <v>открыть</v>
      </c>
    </row>
    <row r="144">
      <c r="A144" t="inlineStr">
        <is>
          <t xml:space="preserve">Женский</t>
        </is>
      </c>
      <c r="B144" t="inlineStr">
        <is>
          <t xml:space="preserve">Бюстгальтеры</t>
        </is>
      </c>
      <c r="C144" t="inlineStr">
        <is>
          <t xml:space="preserve">Топ с чашками бесшовный в сетку, серо-зеленый</t>
        </is>
      </c>
      <c r="D144" t="inlineStr">
        <is>
          <t xml:space="preserve">T3UT42W02серо-зеленый</t>
        </is>
      </c>
      <c r="E144" t="inlineStr">
        <is>
          <t xml:space="preserve">серо-зеленый, бирюзовый</t>
        </is>
      </c>
      <c r="F144" t="inlineStr">
        <is>
          <t xml:space="preserve">xxl</t>
        </is>
      </c>
      <c r="G144">
        <v>1</v>
      </c>
      <c r="H144" s="2">
        <v>12.0</v>
      </c>
      <c r="I144" t="inlineStr">
        <is>
          <t xml:space="preserve">сетка, эластан</t>
        </is>
      </c>
      <c r="J144"/>
      <c r="K144" t="inlineStr">
        <is>
          <t xml:space="preserve">Китай</t>
        </is>
      </c>
      <c r="L144" t="inlineStr">
        <is>
          <t xml:space="preserve">6109909000</t>
        </is>
      </c>
      <c r="M144" t="inlineStr">
        <is>
          <t xml:space="preserve">по запросу</t>
        </is>
      </c>
      <c r="N144" t="inlineStr">
        <is>
          <t xml:space="preserve">22 × 33 × 3</t>
        </is>
      </c>
      <c r="O144" t="inlineStr">
        <is>
          <t xml:space="preserve">0,18</t>
        </is>
      </c>
      <c r="P144" t="inlineStr">
        <is>
          <t xml:space="preserve">2038096208022</t>
        </is>
      </c>
      <c r="Q144" s="3" t="str">
        <f>HYPERLINK("https://modify.by/img/243687975/1.webp","фото")</f>
        <v>фото</v>
      </c>
      <c r="R144" s="3" t="str">
        <f>HYPERLINK("https://modify.by/catalog/byustgaltery/243687975/?utm_source=price&amp;utm_medium=xlsx","открыть")</f>
        <v>открыть</v>
      </c>
    </row>
    <row r="145">
      <c r="A145" t="inlineStr">
        <is>
          <t xml:space="preserve">Женский</t>
        </is>
      </c>
      <c r="B145" t="inlineStr">
        <is>
          <t xml:space="preserve">Бюстгальтеры</t>
        </is>
      </c>
      <c r="C145" t="inlineStr">
        <is>
          <t xml:space="preserve">Топ с чашками бесшовный в сетку, серо-зеленый</t>
        </is>
      </c>
      <c r="D145" t="inlineStr">
        <is>
          <t xml:space="preserve">T3UT42W02серо-зеленый</t>
        </is>
      </c>
      <c r="E145" t="inlineStr">
        <is>
          <t xml:space="preserve">серо-зеленый, бирюзовый</t>
        </is>
      </c>
      <c r="F145" t="inlineStr">
        <is>
          <t xml:space="preserve">xxl</t>
        </is>
      </c>
      <c r="G145">
        <v>1</v>
      </c>
      <c r="H145" s="2">
        <v>12.0</v>
      </c>
      <c r="I145" t="inlineStr">
        <is>
          <t xml:space="preserve">сетка, эластан</t>
        </is>
      </c>
      <c r="J145"/>
      <c r="K145" t="inlineStr">
        <is>
          <t xml:space="preserve">Китай</t>
        </is>
      </c>
      <c r="L145" t="inlineStr">
        <is>
          <t xml:space="preserve">6109909000</t>
        </is>
      </c>
      <c r="M145" t="inlineStr">
        <is>
          <t xml:space="preserve">по запросу</t>
        </is>
      </c>
      <c r="N145" t="inlineStr">
        <is>
          <t xml:space="preserve">22 × 33 × 3</t>
        </is>
      </c>
      <c r="O145" t="inlineStr">
        <is>
          <t xml:space="preserve">0,18</t>
        </is>
      </c>
      <c r="P145" t="inlineStr">
        <is>
          <t xml:space="preserve">4816148179203</t>
        </is>
      </c>
      <c r="Q145" s="3" t="str">
        <f>HYPERLINK("https://modify.by/img/243687975/1.webp","фото")</f>
        <v>фото</v>
      </c>
      <c r="R145" s="3" t="str">
        <f>HYPERLINK("https://modify.by/catalog/byustgaltery/243687975/?utm_source=price&amp;utm_medium=xlsx","открыть")</f>
        <v>открыть</v>
      </c>
    </row>
    <row r="146">
      <c r="A146" t="inlineStr">
        <is>
          <t xml:space="preserve">Женский</t>
        </is>
      </c>
      <c r="B146" t="inlineStr">
        <is>
          <t xml:space="preserve">Бюстгальтеры</t>
        </is>
      </c>
      <c r="C146" t="inlineStr">
        <is>
          <t xml:space="preserve">Топ с чашками бесшовный в сетку, черный</t>
        </is>
      </c>
      <c r="D146" t="inlineStr">
        <is>
          <t xml:space="preserve">T3UT42W02черный</t>
        </is>
      </c>
      <c r="E146" t="inlineStr">
        <is>
          <t xml:space="preserve">черный</t>
        </is>
      </c>
      <c r="F146" t="inlineStr">
        <is>
          <t xml:space="preserve">3xl</t>
        </is>
      </c>
      <c r="G146">
        <v>1</v>
      </c>
      <c r="H146" s="2">
        <v>12.0</v>
      </c>
      <c r="I146" t="inlineStr">
        <is>
          <t xml:space="preserve">эластан, нилон</t>
        </is>
      </c>
      <c r="J146"/>
      <c r="K146" t="inlineStr">
        <is>
          <t xml:space="preserve">Китай</t>
        </is>
      </c>
      <c r="L146" t="inlineStr">
        <is>
          <t xml:space="preserve">6109909000</t>
        </is>
      </c>
      <c r="M146" t="inlineStr">
        <is>
          <t xml:space="preserve">по запросу</t>
        </is>
      </c>
      <c r="N146" t="inlineStr">
        <is>
          <t xml:space="preserve">20 × 16 × 2</t>
        </is>
      </c>
      <c r="O146" t="inlineStr">
        <is>
          <t xml:space="preserve">0,18</t>
        </is>
      </c>
      <c r="P146" t="inlineStr">
        <is>
          <t xml:space="preserve">2038096207988</t>
        </is>
      </c>
      <c r="Q146" s="3" t="str">
        <f>HYPERLINK("https://modify.by/img/243687974/1.webp","фото")</f>
        <v>фото</v>
      </c>
      <c r="R146" s="3" t="str">
        <f>HYPERLINK("https://modify.by/catalog/byustgaltery/243687974/?utm_source=price&amp;utm_medium=xlsx","открыть")</f>
        <v>открыть</v>
      </c>
    </row>
    <row r="147">
      <c r="A147" t="inlineStr">
        <is>
          <t xml:space="preserve">Женский</t>
        </is>
      </c>
      <c r="B147" t="inlineStr">
        <is>
          <t xml:space="preserve">Бюстгальтеры</t>
        </is>
      </c>
      <c r="C147" t="inlineStr">
        <is>
          <t xml:space="preserve">Топ с чашками бесшовный в сетку, черный</t>
        </is>
      </c>
      <c r="D147" t="inlineStr">
        <is>
          <t xml:space="preserve">T3UT42W02черный</t>
        </is>
      </c>
      <c r="E147" t="inlineStr">
        <is>
          <t xml:space="preserve">черный</t>
        </is>
      </c>
      <c r="F147" t="inlineStr">
        <is>
          <t xml:space="preserve">3xl</t>
        </is>
      </c>
      <c r="G147">
        <v>1</v>
      </c>
      <c r="H147" s="2">
        <v>12.0</v>
      </c>
      <c r="I147" t="inlineStr">
        <is>
          <t xml:space="preserve">эластан, нилон</t>
        </is>
      </c>
      <c r="J147"/>
      <c r="K147" t="inlineStr">
        <is>
          <t xml:space="preserve">Китай</t>
        </is>
      </c>
      <c r="L147" t="inlineStr">
        <is>
          <t xml:space="preserve">6109909000</t>
        </is>
      </c>
      <c r="M147" t="inlineStr">
        <is>
          <t xml:space="preserve">по запросу</t>
        </is>
      </c>
      <c r="N147" t="inlineStr">
        <is>
          <t xml:space="preserve">20 × 16 × 2</t>
        </is>
      </c>
      <c r="O147" t="inlineStr">
        <is>
          <t xml:space="preserve">0,18</t>
        </is>
      </c>
      <c r="P147" t="inlineStr">
        <is>
          <t xml:space="preserve">4816148179210</t>
        </is>
      </c>
      <c r="Q147" s="3" t="str">
        <f>HYPERLINK("https://modify.by/img/243687974/1.webp","фото")</f>
        <v>фото</v>
      </c>
      <c r="R147" s="3" t="str">
        <f>HYPERLINK("https://modify.by/catalog/byustgaltery/243687974/?utm_source=price&amp;utm_medium=xlsx","открыть")</f>
        <v>открыть</v>
      </c>
    </row>
    <row r="148">
      <c r="A148" t="inlineStr">
        <is>
          <t xml:space="preserve">Женский</t>
        </is>
      </c>
      <c r="B148" t="inlineStr">
        <is>
          <t xml:space="preserve">Бюстгальтеры</t>
        </is>
      </c>
      <c r="C148" t="inlineStr">
        <is>
          <t xml:space="preserve">Топ с чашками бюстье</t>
        </is>
      </c>
      <c r="D148" t="inlineStr">
        <is>
          <t xml:space="preserve">T3UT42W01серо-голубой</t>
        </is>
      </c>
      <c r="E148" t="inlineStr">
        <is>
          <t xml:space="preserve">голубой</t>
        </is>
      </c>
      <c r="F148" t="inlineStr">
        <is>
          <t xml:space="preserve">90b</t>
        </is>
      </c>
      <c r="G148">
        <v>1</v>
      </c>
      <c r="H148" s="2">
        <v>17.0</v>
      </c>
      <c r="I148" t="inlineStr">
        <is>
          <t xml:space="preserve">полиэстер, эластан</t>
        </is>
      </c>
      <c r="J148"/>
      <c r="K148" t="inlineStr">
        <is>
          <t xml:space="preserve">Китай</t>
        </is>
      </c>
      <c r="L148" t="inlineStr">
        <is>
          <t xml:space="preserve">6212109000</t>
        </is>
      </c>
      <c r="M148" t="inlineStr">
        <is>
          <t xml:space="preserve">по запросу</t>
        </is>
      </c>
      <c r="N148" t="inlineStr">
        <is>
          <t xml:space="preserve">20 × 16 × 2</t>
        </is>
      </c>
      <c r="O148" t="inlineStr">
        <is>
          <t xml:space="preserve">0,22</t>
        </is>
      </c>
      <c r="P148" t="inlineStr">
        <is>
          <t xml:space="preserve">2038096207933</t>
        </is>
      </c>
      <c r="Q148" s="3" t="str">
        <f>HYPERLINK("https://modify.by/img/243682479/1.webp","фото")</f>
        <v>фото</v>
      </c>
      <c r="R148" s="3" t="str">
        <f>HYPERLINK("https://modify.by/catalog/byustgaltery/243682479/?utm_source=price&amp;utm_medium=xlsx","открыть")</f>
        <v>открыть</v>
      </c>
    </row>
    <row r="149">
      <c r="A149" t="inlineStr">
        <is>
          <t xml:space="preserve">Женский</t>
        </is>
      </c>
      <c r="B149" t="inlineStr">
        <is>
          <t xml:space="preserve">Бюстгальтеры</t>
        </is>
      </c>
      <c r="C149" t="inlineStr">
        <is>
          <t xml:space="preserve">Топ с чашками бюстье</t>
        </is>
      </c>
      <c r="D149" t="inlineStr">
        <is>
          <t xml:space="preserve">T3UT42W01серо-голубой</t>
        </is>
      </c>
      <c r="E149" t="inlineStr">
        <is>
          <t xml:space="preserve">голубой</t>
        </is>
      </c>
      <c r="F149" t="inlineStr">
        <is>
          <t xml:space="preserve">90b</t>
        </is>
      </c>
      <c r="G149">
        <v>1</v>
      </c>
      <c r="H149" s="2">
        <v>17.0</v>
      </c>
      <c r="I149" t="inlineStr">
        <is>
          <t xml:space="preserve">полиэстер, эластан</t>
        </is>
      </c>
      <c r="J149"/>
      <c r="K149" t="inlineStr">
        <is>
          <t xml:space="preserve">Китай</t>
        </is>
      </c>
      <c r="L149" t="inlineStr">
        <is>
          <t xml:space="preserve">6212109000</t>
        </is>
      </c>
      <c r="M149" t="inlineStr">
        <is>
          <t xml:space="preserve">по запросу</t>
        </is>
      </c>
      <c r="N149" t="inlineStr">
        <is>
          <t xml:space="preserve">20 × 16 × 2</t>
        </is>
      </c>
      <c r="O149" t="inlineStr">
        <is>
          <t xml:space="preserve">0,22</t>
        </is>
      </c>
      <c r="P149" t="inlineStr">
        <is>
          <t xml:space="preserve">4816148179197</t>
        </is>
      </c>
      <c r="Q149" s="3" t="str">
        <f>HYPERLINK("https://modify.by/img/243682479/1.webp","фото")</f>
        <v>фото</v>
      </c>
      <c r="R149" s="3" t="str">
        <f>HYPERLINK("https://modify.by/catalog/byustgaltery/243682479/?utm_source=price&amp;utm_medium=xlsx","открыть")</f>
        <v>открыть</v>
      </c>
    </row>
    <row r="150">
      <c r="A150" t="inlineStr">
        <is>
          <t xml:space="preserve">Женский</t>
        </is>
      </c>
      <c r="B150" t="inlineStr">
        <is>
          <t xml:space="preserve">Водолазки</t>
        </is>
      </c>
      <c r="C150" t="inlineStr">
        <is>
          <t xml:space="preserve">Свитер, молочный</t>
        </is>
      </c>
      <c r="D150" t="inlineStr">
        <is>
          <t xml:space="preserve">SW12W16*Молочный</t>
        </is>
      </c>
      <c r="E150" t="inlineStr">
        <is>
          <t xml:space="preserve">молочный</t>
        </is>
      </c>
      <c r="F150" t="inlineStr">
        <is>
          <t xml:space="preserve">44</t>
        </is>
      </c>
      <c r="G150">
        <v>3</v>
      </c>
      <c r="H150" s="2">
        <v>22.0</v>
      </c>
      <c r="I150" t="inlineStr">
        <is>
          <t xml:space="preserve">вискоза 80%, акрил 20%</t>
        </is>
      </c>
      <c r="J150"/>
      <c r="K150" t="inlineStr">
        <is>
          <t xml:space="preserve">Бангладеш</t>
        </is>
      </c>
      <c r="L150" t="inlineStr">
        <is>
          <t xml:space="preserve">6110209900</t>
        </is>
      </c>
      <c r="M150" t="inlineStr">
        <is>
          <t xml:space="preserve">Декларация № ЕАЭС № BY/112 11.01. ТР017 122.01 08246, до 19.04.2028</t>
        </is>
      </c>
      <c r="N150" t="inlineStr">
        <is>
          <t xml:space="preserve">22 × 5 × 22</t>
        </is>
      </c>
      <c r="O150" t="inlineStr">
        <is>
          <t xml:space="preserve">0,35</t>
        </is>
      </c>
      <c r="P150" t="inlineStr">
        <is>
          <t xml:space="preserve">2004570301343</t>
        </is>
      </c>
      <c r="Q150" s="3" t="str">
        <f>HYPERLINK("https://modify.by/img/58488091/1.webp","фото")</f>
        <v>фото</v>
      </c>
      <c r="R150" s="3" t="str">
        <f>HYPERLINK("https://modify.by/catalog/vodolazki/58488091/?utm_source=price&amp;utm_medium=xlsx","открыть")</f>
        <v>открыть</v>
      </c>
    </row>
    <row r="151">
      <c r="A151" t="inlineStr">
        <is>
          <t xml:space="preserve">Женский</t>
        </is>
      </c>
      <c r="B151" t="inlineStr">
        <is>
          <t xml:space="preserve">Водолазки</t>
        </is>
      </c>
      <c r="C151" t="inlineStr">
        <is>
          <t xml:space="preserve">Свитер, молочный</t>
        </is>
      </c>
      <c r="D151" t="inlineStr">
        <is>
          <t xml:space="preserve">SW12W16*Молочный</t>
        </is>
      </c>
      <c r="E151" t="inlineStr">
        <is>
          <t xml:space="preserve">молочный</t>
        </is>
      </c>
      <c r="F151" t="inlineStr">
        <is>
          <t xml:space="preserve">44</t>
        </is>
      </c>
      <c r="G151">
        <v>3</v>
      </c>
      <c r="H151" s="2">
        <v>22.0</v>
      </c>
      <c r="I151" t="inlineStr">
        <is>
          <t xml:space="preserve">вискоза 80%, акрил 20%</t>
        </is>
      </c>
      <c r="J151"/>
      <c r="K151" t="inlineStr">
        <is>
          <t xml:space="preserve">Бангладеш</t>
        </is>
      </c>
      <c r="L151" t="inlineStr">
        <is>
          <t xml:space="preserve">6110209900</t>
        </is>
      </c>
      <c r="M151" t="inlineStr">
        <is>
          <t xml:space="preserve">Декларация № ЕАЭС № BY/112 11.01. ТР017 122.01 08246, до 19.04.2028</t>
        </is>
      </c>
      <c r="N151" t="inlineStr">
        <is>
          <t xml:space="preserve">22 × 5 × 22</t>
        </is>
      </c>
      <c r="O151" t="inlineStr">
        <is>
          <t xml:space="preserve">0,35</t>
        </is>
      </c>
      <c r="P151" t="inlineStr">
        <is>
          <t xml:space="preserve">4816148178725</t>
        </is>
      </c>
      <c r="Q151" s="3" t="str">
        <f>HYPERLINK("https://modify.by/img/58488091/1.webp","фото")</f>
        <v>фото</v>
      </c>
      <c r="R151" s="3" t="str">
        <f>HYPERLINK("https://modify.by/catalog/vodolazki/58488091/?utm_source=price&amp;utm_medium=xlsx","открыть")</f>
        <v>открыть</v>
      </c>
    </row>
    <row r="152">
      <c r="A152" t="inlineStr">
        <is>
          <t xml:space="preserve">Женский</t>
        </is>
      </c>
      <c r="B152" t="inlineStr">
        <is>
          <t xml:space="preserve">Водолазки</t>
        </is>
      </c>
      <c r="C152" t="inlineStr">
        <is>
          <t xml:space="preserve">Свитер, черный</t>
        </is>
      </c>
      <c r="D152" t="inlineStr">
        <is>
          <t xml:space="preserve">SW12W16*Черный</t>
        </is>
      </c>
      <c r="E152" t="inlineStr">
        <is>
          <t xml:space="preserve">черный</t>
        </is>
      </c>
      <c r="F152" t="inlineStr">
        <is>
          <t xml:space="preserve">50</t>
        </is>
      </c>
      <c r="G152">
        <v>1</v>
      </c>
      <c r="H152" s="2">
        <v>22.0</v>
      </c>
      <c r="I152" t="inlineStr">
        <is>
          <t xml:space="preserve">вискоза 80%, акрил 20%</t>
        </is>
      </c>
      <c r="J152"/>
      <c r="K152" t="inlineStr">
        <is>
          <t xml:space="preserve">Бангладеш</t>
        </is>
      </c>
      <c r="L152" t="inlineStr">
        <is>
          <t xml:space="preserve">6110209900</t>
        </is>
      </c>
      <c r="M152" t="inlineStr">
        <is>
          <t xml:space="preserve">Декларация № ЕАЭС № BY/112 11.01. ТР017 122.01 08246, до 19.04.2028</t>
        </is>
      </c>
      <c r="N152" t="inlineStr">
        <is>
          <t xml:space="preserve">22 × 5 × 22</t>
        </is>
      </c>
      <c r="O152" t="inlineStr">
        <is>
          <t xml:space="preserve">0,35</t>
        </is>
      </c>
      <c r="P152" t="inlineStr">
        <is>
          <t xml:space="preserve">2004570301411</t>
        </is>
      </c>
      <c r="Q152" s="3" t="str">
        <f>HYPERLINK("https://modify.by/img/58488094/1.webp","фото")</f>
        <v>фото</v>
      </c>
      <c r="R152" s="3" t="str">
        <f>HYPERLINK("https://modify.by/catalog/vodolazki/58488094/?utm_source=price&amp;utm_medium=xlsx","открыть")</f>
        <v>открыть</v>
      </c>
    </row>
    <row r="153">
      <c r="A153" t="inlineStr">
        <is>
          <t xml:space="preserve">Женский</t>
        </is>
      </c>
      <c r="B153" t="inlineStr">
        <is>
          <t xml:space="preserve">Водолазки</t>
        </is>
      </c>
      <c r="C153" t="inlineStr">
        <is>
          <t xml:space="preserve">Свитер, черный</t>
        </is>
      </c>
      <c r="D153" t="inlineStr">
        <is>
          <t xml:space="preserve">SW12W16*Черный</t>
        </is>
      </c>
      <c r="E153" t="inlineStr">
        <is>
          <t xml:space="preserve">черный</t>
        </is>
      </c>
      <c r="F153" t="inlineStr">
        <is>
          <t xml:space="preserve">50</t>
        </is>
      </c>
      <c r="G153">
        <v>1</v>
      </c>
      <c r="H153" s="2">
        <v>22.0</v>
      </c>
      <c r="I153" t="inlineStr">
        <is>
          <t xml:space="preserve">вискоза 80%, акрил 20%</t>
        </is>
      </c>
      <c r="J153"/>
      <c r="K153" t="inlineStr">
        <is>
          <t xml:space="preserve">Бангладеш</t>
        </is>
      </c>
      <c r="L153" t="inlineStr">
        <is>
          <t xml:space="preserve">6110209900</t>
        </is>
      </c>
      <c r="M153" t="inlineStr">
        <is>
          <t xml:space="preserve">Декларация № ЕАЭС № BY/112 11.01. ТР017 122.01 08246, до 19.04.2028</t>
        </is>
      </c>
      <c r="N153" t="inlineStr">
        <is>
          <t xml:space="preserve">22 × 5 × 22</t>
        </is>
      </c>
      <c r="O153" t="inlineStr">
        <is>
          <t xml:space="preserve">0,35</t>
        </is>
      </c>
      <c r="P153" t="inlineStr">
        <is>
          <t xml:space="preserve">4816148178732</t>
        </is>
      </c>
      <c r="Q153" s="3" t="str">
        <f>HYPERLINK("https://modify.by/img/58488094/1.webp","фото")</f>
        <v>фото</v>
      </c>
      <c r="R153" s="3" t="str">
        <f>HYPERLINK("https://modify.by/catalog/vodolazki/58488094/?utm_source=price&amp;utm_medium=xlsx","открыть")</f>
        <v>открыть</v>
      </c>
    </row>
    <row r="154">
      <c r="A154" t="inlineStr">
        <is>
          <t xml:space="preserve">Женский</t>
        </is>
      </c>
      <c r="B154" t="inlineStr">
        <is>
          <t xml:space="preserve">Джемперы</t>
        </is>
      </c>
      <c r="C154" t="inlineStr">
        <is>
          <t xml:space="preserve">Джемпер ажурный нарядный хлопок</t>
        </is>
      </c>
      <c r="D154" t="inlineStr">
        <is>
          <t xml:space="preserve">SW12W22Голубой</t>
        </is>
      </c>
      <c r="E154" t="inlineStr">
        <is>
          <t xml:space="preserve">голубой</t>
        </is>
      </c>
      <c r="F154" t="inlineStr">
        <is>
          <t xml:space="preserve">58</t>
        </is>
      </c>
      <c r="G154">
        <v>1</v>
      </c>
      <c r="H154" s="2">
        <v>27.0</v>
      </c>
      <c r="I154" t="inlineStr">
        <is>
          <t xml:space="preserve">50% хлопок 50% акрил</t>
        </is>
      </c>
      <c r="J154" t="inlineStr">
        <is>
          <t xml:space="preserve">демисезон</t>
        </is>
      </c>
      <c r="K154" t="inlineStr">
        <is>
          <t xml:space="preserve">Бангладеш</t>
        </is>
      </c>
      <c r="L154" t="inlineStr">
        <is>
          <t xml:space="preserve">6110209900</t>
        </is>
      </c>
      <c r="M154" t="inlineStr">
        <is>
          <t xml:space="preserve">Декларация № ЕАЭС № BY/112 11.01. ТР017 122.01 08246, до 19.04.2028</t>
        </is>
      </c>
      <c r="N154" t="inlineStr">
        <is>
          <t xml:space="preserve">2 × 30 × 35</t>
        </is>
      </c>
      <c r="O154" t="inlineStr">
        <is>
          <t xml:space="preserve">0,4</t>
        </is>
      </c>
      <c r="P154" t="inlineStr">
        <is>
          <t xml:space="preserve">2004570296410</t>
        </is>
      </c>
      <c r="Q154" s="3" t="str">
        <f>HYPERLINK("https://modify.by/img/99671679/1.webp","фото")</f>
        <v>фото</v>
      </c>
      <c r="R154" s="3" t="str">
        <f>HYPERLINK("https://modify.by/catalog/dzhempery/99671679/?utm_source=price&amp;utm_medium=xlsx","открыть")</f>
        <v>открыть</v>
      </c>
    </row>
    <row r="155">
      <c r="A155" t="inlineStr">
        <is>
          <t xml:space="preserve">Женский</t>
        </is>
      </c>
      <c r="B155" t="inlineStr">
        <is>
          <t xml:space="preserve">Джемперы</t>
        </is>
      </c>
      <c r="C155" t="inlineStr">
        <is>
          <t xml:space="preserve">Джемпер ажурный нарядный хлопок</t>
        </is>
      </c>
      <c r="D155" t="inlineStr">
        <is>
          <t xml:space="preserve">SW12W22Голубой</t>
        </is>
      </c>
      <c r="E155" t="inlineStr">
        <is>
          <t xml:space="preserve">голубой</t>
        </is>
      </c>
      <c r="F155" t="inlineStr">
        <is>
          <t xml:space="preserve">58</t>
        </is>
      </c>
      <c r="G155">
        <v>1</v>
      </c>
      <c r="H155" s="2">
        <v>27.0</v>
      </c>
      <c r="I155" t="inlineStr">
        <is>
          <t xml:space="preserve">50% хлопок 50% акрил</t>
        </is>
      </c>
      <c r="J155" t="inlineStr">
        <is>
          <t xml:space="preserve">демисезон</t>
        </is>
      </c>
      <c r="K155" t="inlineStr">
        <is>
          <t xml:space="preserve">Бангладеш</t>
        </is>
      </c>
      <c r="L155" t="inlineStr">
        <is>
          <t xml:space="preserve">6110209900</t>
        </is>
      </c>
      <c r="M155" t="inlineStr">
        <is>
          <t xml:space="preserve">Декларация № ЕАЭС № BY/112 11.01. ТР017 122.01 08246, до 19.04.2028</t>
        </is>
      </c>
      <c r="N155" t="inlineStr">
        <is>
          <t xml:space="preserve">2 × 30 × 35</t>
        </is>
      </c>
      <c r="O155" t="inlineStr">
        <is>
          <t xml:space="preserve">0,4</t>
        </is>
      </c>
      <c r="P155" t="inlineStr">
        <is>
          <t xml:space="preserve">4816148178466</t>
        </is>
      </c>
      <c r="Q155" s="3" t="str">
        <f>HYPERLINK("https://modify.by/img/99671679/1.webp","фото")</f>
        <v>фото</v>
      </c>
      <c r="R155" s="3" t="str">
        <f>HYPERLINK("https://modify.by/catalog/dzhempery/99671679/?utm_source=price&amp;utm_medium=xlsx","открыть")</f>
        <v>открыть</v>
      </c>
    </row>
    <row r="156">
      <c r="A156" t="inlineStr">
        <is>
          <t xml:space="preserve">Женский</t>
        </is>
      </c>
      <c r="B156" t="inlineStr">
        <is>
          <t xml:space="preserve">Джемперы</t>
        </is>
      </c>
      <c r="C156" t="inlineStr">
        <is>
          <t xml:space="preserve">Джемпер вязаный оверсайз легкий весенний кофта без горла</t>
        </is>
      </c>
      <c r="D156" t="inlineStr">
        <is>
          <t xml:space="preserve">SW52W04розовый</t>
        </is>
      </c>
      <c r="E156" t="inlineStr">
        <is>
          <t xml:space="preserve">розовая фуксия, розовый меланж</t>
        </is>
      </c>
      <c r="F156" t="inlineStr">
        <is>
          <t xml:space="preserve">46</t>
        </is>
      </c>
      <c r="G156">
        <v>23</v>
      </c>
      <c r="H156" s="2">
        <v>30.0</v>
      </c>
      <c r="I156" t="inlineStr">
        <is>
          <t xml:space="preserve">акрил</t>
        </is>
      </c>
      <c r="J156" t="inlineStr">
        <is>
          <t xml:space="preserve">демисезон</t>
        </is>
      </c>
      <c r="K156" t="inlineStr">
        <is>
          <t xml:space="preserve">Бангладеш</t>
        </is>
      </c>
      <c r="L156" t="inlineStr">
        <is>
          <t xml:space="preserve">6110309900</t>
        </is>
      </c>
      <c r="M156" t="inlineStr">
        <is>
          <t xml:space="preserve">Декларация № ЕАЭС № BY/112 11.01. ТР017 122.01 08246, до 19.04.2028</t>
        </is>
      </c>
      <c r="N156" t="inlineStr">
        <is>
          <t xml:space="preserve">32 × 26 × 3</t>
        </is>
      </c>
      <c r="O156" t="inlineStr">
        <is>
          <t xml:space="preserve">0,41</t>
        </is>
      </c>
      <c r="P156" t="inlineStr">
        <is>
          <t xml:space="preserve">4816148164582</t>
        </is>
      </c>
      <c r="Q156" s="3" t="str">
        <f>HYPERLINK("https://modify.by/img/542413529/1.webp","фото")</f>
        <v>фото</v>
      </c>
      <c r="R156" s="3" t="str">
        <f>HYPERLINK("https://modify.by/catalog/dzhempery/542413529/?utm_source=price&amp;utm_medium=xlsx","открыть")</f>
        <v>открыть</v>
      </c>
    </row>
    <row r="157">
      <c r="A157" t="inlineStr">
        <is>
          <t xml:space="preserve">Женский</t>
        </is>
      </c>
      <c r="B157" t="inlineStr">
        <is>
          <t xml:space="preserve">Джемперы</t>
        </is>
      </c>
      <c r="C157" t="inlineStr">
        <is>
          <t xml:space="preserve">Джемпер вязаный оверсайз легкий весенний кофта без горла</t>
        </is>
      </c>
      <c r="D157" t="inlineStr">
        <is>
          <t xml:space="preserve">SW52W04розовый</t>
        </is>
      </c>
      <c r="E157" t="inlineStr">
        <is>
          <t xml:space="preserve">розовая фуксия, розовый меланж</t>
        </is>
      </c>
      <c r="F157" t="inlineStr">
        <is>
          <t xml:space="preserve">48</t>
        </is>
      </c>
      <c r="G157">
        <v>34</v>
      </c>
      <c r="H157" s="2">
        <v>30.0</v>
      </c>
      <c r="I157" t="inlineStr">
        <is>
          <t xml:space="preserve">акрил</t>
        </is>
      </c>
      <c r="J157" t="inlineStr">
        <is>
          <t xml:space="preserve">демисезон</t>
        </is>
      </c>
      <c r="K157" t="inlineStr">
        <is>
          <t xml:space="preserve">Бангладеш</t>
        </is>
      </c>
      <c r="L157" t="inlineStr">
        <is>
          <t xml:space="preserve">6110309900</t>
        </is>
      </c>
      <c r="M157" t="inlineStr">
        <is>
          <t xml:space="preserve">Декларация № ЕАЭС № BY/112 11.01. ТР017 122.01 08246, до 19.04.2028</t>
        </is>
      </c>
      <c r="N157" t="inlineStr">
        <is>
          <t xml:space="preserve">32 × 26 × 3</t>
        </is>
      </c>
      <c r="O157" t="inlineStr">
        <is>
          <t xml:space="preserve">0,41</t>
        </is>
      </c>
      <c r="P157" t="inlineStr">
        <is>
          <t xml:space="preserve">4816148164599</t>
        </is>
      </c>
      <c r="Q157" s="3" t="str">
        <f>HYPERLINK("https://modify.by/img/542413529/1.webp","фото")</f>
        <v>фото</v>
      </c>
      <c r="R157" s="3" t="str">
        <f>HYPERLINK("https://modify.by/catalog/dzhempery/542413529/?utm_source=price&amp;utm_medium=xlsx","открыть")</f>
        <v>открыть</v>
      </c>
    </row>
    <row r="158">
      <c r="A158" t="inlineStr">
        <is>
          <t xml:space="preserve">Женский</t>
        </is>
      </c>
      <c r="B158" t="inlineStr">
        <is>
          <t xml:space="preserve">Джемперы</t>
        </is>
      </c>
      <c r="C158" t="inlineStr">
        <is>
          <t xml:space="preserve">Джемпер вязаный оверсайз легкий весенний кофта без горла</t>
        </is>
      </c>
      <c r="D158" t="inlineStr">
        <is>
          <t xml:space="preserve">SW52W04розовый</t>
        </is>
      </c>
      <c r="E158" t="inlineStr">
        <is>
          <t xml:space="preserve">розовая фуксия, розовый меланж</t>
        </is>
      </c>
      <c r="F158" t="inlineStr">
        <is>
          <t xml:space="preserve">50</t>
        </is>
      </c>
      <c r="G158">
        <v>30</v>
      </c>
      <c r="H158" s="2">
        <v>30.0</v>
      </c>
      <c r="I158" t="inlineStr">
        <is>
          <t xml:space="preserve">акрил</t>
        </is>
      </c>
      <c r="J158" t="inlineStr">
        <is>
          <t xml:space="preserve">демисезон</t>
        </is>
      </c>
      <c r="K158" t="inlineStr">
        <is>
          <t xml:space="preserve">Бангладеш</t>
        </is>
      </c>
      <c r="L158" t="inlineStr">
        <is>
          <t xml:space="preserve">6110309900</t>
        </is>
      </c>
      <c r="M158" t="inlineStr">
        <is>
          <t xml:space="preserve">Декларация № ЕАЭС № BY/112 11.01. ТР017 122.01 08246, до 19.04.2028</t>
        </is>
      </c>
      <c r="N158" t="inlineStr">
        <is>
          <t xml:space="preserve">32 × 26 × 3</t>
        </is>
      </c>
      <c r="O158" t="inlineStr">
        <is>
          <t xml:space="preserve">0,41</t>
        </is>
      </c>
      <c r="P158" t="inlineStr">
        <is>
          <t xml:space="preserve">4816148164605</t>
        </is>
      </c>
      <c r="Q158" s="3" t="str">
        <f>HYPERLINK("https://modify.by/img/542413529/1.webp","фото")</f>
        <v>фото</v>
      </c>
      <c r="R158" s="3" t="str">
        <f>HYPERLINK("https://modify.by/catalog/dzhempery/542413529/?utm_source=price&amp;utm_medium=xlsx","открыть")</f>
        <v>открыть</v>
      </c>
    </row>
    <row r="159">
      <c r="A159" t="inlineStr">
        <is>
          <t xml:space="preserve">Женский</t>
        </is>
      </c>
      <c r="B159" t="inlineStr">
        <is>
          <t xml:space="preserve">Джемперы</t>
        </is>
      </c>
      <c r="C159" t="inlineStr">
        <is>
          <t xml:space="preserve">Джемпер легкий</t>
        </is>
      </c>
      <c r="D159" t="inlineStr">
        <is>
          <t xml:space="preserve">SW12W24Черный</t>
        </is>
      </c>
      <c r="E159" t="inlineStr">
        <is>
          <t xml:space="preserve">черный</t>
        </is>
      </c>
      <c r="F159" t="inlineStr">
        <is>
          <t xml:space="preserve">50</t>
        </is>
      </c>
      <c r="G159">
        <v>1</v>
      </c>
      <c r="H159" s="2">
        <v>21.0</v>
      </c>
      <c r="I159" t="inlineStr">
        <is>
          <t xml:space="preserve">полиамид 29%, вискоза 71%</t>
        </is>
      </c>
      <c r="J159" t="inlineStr">
        <is>
          <t xml:space="preserve">круглогодичный</t>
        </is>
      </c>
      <c r="K159" t="inlineStr">
        <is>
          <t xml:space="preserve">Бангладеш</t>
        </is>
      </c>
      <c r="L159" t="inlineStr">
        <is>
          <t xml:space="preserve">6106200000</t>
        </is>
      </c>
      <c r="M159" t="inlineStr">
        <is>
          <t xml:space="preserve">по запросу</t>
        </is>
      </c>
      <c r="N159"/>
      <c r="O159"/>
      <c r="P159" t="inlineStr">
        <is>
          <t xml:space="preserve">2004570290197</t>
        </is>
      </c>
      <c r="Q159" s="3" t="str">
        <f>HYPERLINK("https://modify.by/img/57142045/1.webp","фото")</f>
        <v>фото</v>
      </c>
      <c r="R159" s="3" t="str">
        <f>HYPERLINK("https://modify.by/catalog/dzhempery/57142045/?utm_source=price&amp;utm_medium=xlsx","открыть")</f>
        <v>открыть</v>
      </c>
    </row>
    <row r="160">
      <c r="A160" t="inlineStr">
        <is>
          <t xml:space="preserve">Женский</t>
        </is>
      </c>
      <c r="B160" t="inlineStr">
        <is>
          <t xml:space="preserve">Джемперы</t>
        </is>
      </c>
      <c r="C160" t="inlineStr">
        <is>
          <t xml:space="preserve">Джемпер с коротким рукавом вязаная футболка летний топ ажур, зернистый светло-бежевый</t>
        </is>
      </c>
      <c r="D160" t="inlineStr">
        <is>
          <t xml:space="preserve">JU62W01_светло-бежевый</t>
        </is>
      </c>
      <c r="E160" t="inlineStr">
        <is>
          <t xml:space="preserve">зернистый светло-бежевый</t>
        </is>
      </c>
      <c r="F160" t="inlineStr">
        <is>
          <t xml:space="preserve">40</t>
        </is>
      </c>
      <c r="G160">
        <v>7</v>
      </c>
      <c r="H160" s="2">
        <v>17.0</v>
      </c>
      <c r="I160" t="inlineStr">
        <is>
          <t xml:space="preserve">акрил, нейлон</t>
        </is>
      </c>
      <c r="J160" t="inlineStr">
        <is>
          <t xml:space="preserve">демисезон</t>
        </is>
      </c>
      <c r="K160" t="inlineStr">
        <is>
          <t xml:space="preserve">Бангладеш</t>
        </is>
      </c>
      <c r="L160" t="inlineStr">
        <is>
          <t xml:space="preserve">6110309900</t>
        </is>
      </c>
      <c r="M160" t="inlineStr">
        <is>
          <t xml:space="preserve">Декларация № ЕАЭС № BY/112 11.01. ТР017 122.01 08246, до 19.04.2028</t>
        </is>
      </c>
      <c r="N160" t="inlineStr">
        <is>
          <t xml:space="preserve">20 × 26 × 2</t>
        </is>
      </c>
      <c r="O160" t="inlineStr">
        <is>
          <t xml:space="preserve">0,3</t>
        </is>
      </c>
      <c r="P160" t="inlineStr">
        <is>
          <t xml:space="preserve">4816148182968</t>
        </is>
      </c>
      <c r="Q160" s="3" t="str">
        <f>HYPERLINK("https://modify.by/img/1028840113/1.webp","фото")</f>
        <v>фото</v>
      </c>
      <c r="R160" s="3" t="str">
        <f>HYPERLINK("https://modify.by/catalog/dzhempery/1028840113/?utm_source=price&amp;utm_medium=xlsx","открыть")</f>
        <v>открыть</v>
      </c>
    </row>
    <row r="161">
      <c r="A161" t="inlineStr">
        <is>
          <t xml:space="preserve">Женский</t>
        </is>
      </c>
      <c r="B161" t="inlineStr">
        <is>
          <t xml:space="preserve">Джемперы</t>
        </is>
      </c>
      <c r="C161" t="inlineStr">
        <is>
          <t xml:space="preserve">Джемпер с коротким рукавом вязаная футболка летний топ ажур, зернистый светло-бежевый</t>
        </is>
      </c>
      <c r="D161" t="inlineStr">
        <is>
          <t xml:space="preserve">JU62W01_светло-бежевый</t>
        </is>
      </c>
      <c r="E161" t="inlineStr">
        <is>
          <t xml:space="preserve">зернистый светло-бежевый</t>
        </is>
      </c>
      <c r="F161" t="inlineStr">
        <is>
          <t xml:space="preserve">48</t>
        </is>
      </c>
      <c r="G161">
        <v>27</v>
      </c>
      <c r="H161" s="2">
        <v>17.0</v>
      </c>
      <c r="I161" t="inlineStr">
        <is>
          <t xml:space="preserve">акрил, нейлон</t>
        </is>
      </c>
      <c r="J161" t="inlineStr">
        <is>
          <t xml:space="preserve">демисезон</t>
        </is>
      </c>
      <c r="K161" t="inlineStr">
        <is>
          <t xml:space="preserve">Бангладеш</t>
        </is>
      </c>
      <c r="L161" t="inlineStr">
        <is>
          <t xml:space="preserve">6110309900</t>
        </is>
      </c>
      <c r="M161" t="inlineStr">
        <is>
          <t xml:space="preserve">Декларация № ЕАЭС № BY/112 11.01. ТР017 122.01 08246, до 19.04.2028</t>
        </is>
      </c>
      <c r="N161" t="inlineStr">
        <is>
          <t xml:space="preserve">20 × 26 × 2</t>
        </is>
      </c>
      <c r="O161" t="inlineStr">
        <is>
          <t xml:space="preserve">0,3</t>
        </is>
      </c>
      <c r="P161" t="inlineStr">
        <is>
          <t xml:space="preserve">4816148183002</t>
        </is>
      </c>
      <c r="Q161" s="3" t="str">
        <f>HYPERLINK("https://modify.by/img/1028840113/1.webp","фото")</f>
        <v>фото</v>
      </c>
      <c r="R161" s="3" t="str">
        <f>HYPERLINK("https://modify.by/catalog/dzhempery/1028840113/?utm_source=price&amp;utm_medium=xlsx","открыть")</f>
        <v>открыть</v>
      </c>
    </row>
    <row r="162">
      <c r="A162" t="inlineStr">
        <is>
          <t xml:space="preserve">Женский</t>
        </is>
      </c>
      <c r="B162" t="inlineStr">
        <is>
          <t xml:space="preserve">Джемперы</t>
        </is>
      </c>
      <c r="C162" t="inlineStr">
        <is>
          <t xml:space="preserve">Джемпер с коротким рукавом вязаная футболка летний топ ажур, темно-оливковый</t>
        </is>
      </c>
      <c r="D162" t="inlineStr">
        <is>
          <t xml:space="preserve">JU62W01_темно-оливковый</t>
        </is>
      </c>
      <c r="E162" t="inlineStr">
        <is>
          <t xml:space="preserve">темно-оливковый, хаки</t>
        </is>
      </c>
      <c r="F162" t="inlineStr">
        <is>
          <t xml:space="preserve">38</t>
        </is>
      </c>
      <c r="G162">
        <v>39</v>
      </c>
      <c r="H162" s="2">
        <v>17.0</v>
      </c>
      <c r="I162" t="inlineStr">
        <is>
          <t xml:space="preserve">акрил, нейлон</t>
        </is>
      </c>
      <c r="J162" t="inlineStr">
        <is>
          <t xml:space="preserve">демисезон</t>
        </is>
      </c>
      <c r="K162" t="inlineStr">
        <is>
          <t xml:space="preserve">Бангладеш</t>
        </is>
      </c>
      <c r="L162" t="inlineStr">
        <is>
          <t xml:space="preserve">6110309900</t>
        </is>
      </c>
      <c r="M162" t="inlineStr">
        <is>
          <t xml:space="preserve">Декларация № ЕАЭС № BY/112 11.01. ТР017 122.01 08246, до 19.04.2028</t>
        </is>
      </c>
      <c r="N162" t="inlineStr">
        <is>
          <t xml:space="preserve">20 × 26 × 2</t>
        </is>
      </c>
      <c r="O162" t="inlineStr">
        <is>
          <t xml:space="preserve">0,3</t>
        </is>
      </c>
      <c r="P162" t="inlineStr">
        <is>
          <t xml:space="preserve">4816148183019</t>
        </is>
      </c>
      <c r="Q162" s="3" t="str">
        <f>HYPERLINK("https://modify.by/img/1035634635/1.webp","фото")</f>
        <v>фото</v>
      </c>
      <c r="R162" s="3" t="str">
        <f>HYPERLINK("https://modify.by/catalog/dzhempery/1035634635/?utm_source=price&amp;utm_medium=xlsx","открыть")</f>
        <v>открыть</v>
      </c>
    </row>
    <row r="163">
      <c r="A163" t="inlineStr">
        <is>
          <t xml:space="preserve">Женский</t>
        </is>
      </c>
      <c r="B163" t="inlineStr">
        <is>
          <t xml:space="preserve">Джемперы</t>
        </is>
      </c>
      <c r="C163" t="inlineStr">
        <is>
          <t xml:space="preserve">Джемпер с коротким рукавом вязаная футболка летний топ ажур, темно-оливковый</t>
        </is>
      </c>
      <c r="D163" t="inlineStr">
        <is>
          <t xml:space="preserve">JU62W01_темно-оливковый</t>
        </is>
      </c>
      <c r="E163" t="inlineStr">
        <is>
          <t xml:space="preserve">темно-оливковый, хаки</t>
        </is>
      </c>
      <c r="F163" t="inlineStr">
        <is>
          <t xml:space="preserve">44</t>
        </is>
      </c>
      <c r="G163">
        <v>2</v>
      </c>
      <c r="H163" s="2">
        <v>17.0</v>
      </c>
      <c r="I163" t="inlineStr">
        <is>
          <t xml:space="preserve">акрил, нейлон</t>
        </is>
      </c>
      <c r="J163" t="inlineStr">
        <is>
          <t xml:space="preserve">демисезон</t>
        </is>
      </c>
      <c r="K163" t="inlineStr">
        <is>
          <t xml:space="preserve">Бангладеш</t>
        </is>
      </c>
      <c r="L163" t="inlineStr">
        <is>
          <t xml:space="preserve">6110309900</t>
        </is>
      </c>
      <c r="M163" t="inlineStr">
        <is>
          <t xml:space="preserve">Декларация № ЕАЭС № BY/112 11.01. ТР017 122.01 08246, до 19.04.2028</t>
        </is>
      </c>
      <c r="N163" t="inlineStr">
        <is>
          <t xml:space="preserve">20 × 26 × 2</t>
        </is>
      </c>
      <c r="O163" t="inlineStr">
        <is>
          <t xml:space="preserve">0,3</t>
        </is>
      </c>
      <c r="P163" t="inlineStr">
        <is>
          <t xml:space="preserve">4816148183040</t>
        </is>
      </c>
      <c r="Q163" s="3" t="str">
        <f>HYPERLINK("https://modify.by/img/1035634635/1.webp","фото")</f>
        <v>фото</v>
      </c>
      <c r="R163" s="3" t="str">
        <f>HYPERLINK("https://modify.by/catalog/dzhempery/1035634635/?utm_source=price&amp;utm_medium=xlsx","открыть")</f>
        <v>открыть</v>
      </c>
    </row>
    <row r="164">
      <c r="A164" t="inlineStr">
        <is>
          <t xml:space="preserve">Женский</t>
        </is>
      </c>
      <c r="B164" t="inlineStr">
        <is>
          <t xml:space="preserve">Джемперы</t>
        </is>
      </c>
      <c r="C164" t="inlineStr">
        <is>
          <t xml:space="preserve">Свитер ажурной вязки оверсайз</t>
        </is>
      </c>
      <c r="D164" t="inlineStr">
        <is>
          <t xml:space="preserve">SW52W01светло-зеленый</t>
        </is>
      </c>
      <c r="E164" t="inlineStr">
        <is>
          <t xml:space="preserve">светло-зеленый, пастельно-мятный</t>
        </is>
      </c>
      <c r="F164" t="inlineStr">
        <is>
          <t xml:space="preserve">46</t>
        </is>
      </c>
      <c r="G164">
        <v>59</v>
      </c>
      <c r="H164" s="2">
        <v>39.0</v>
      </c>
      <c r="I164" t="inlineStr">
        <is>
          <t xml:space="preserve">полиэфирный шелк</t>
        </is>
      </c>
      <c r="J164"/>
      <c r="K164" t="inlineStr">
        <is>
          <t xml:space="preserve">Бангладеш</t>
        </is>
      </c>
      <c r="L164" t="inlineStr">
        <is>
          <t xml:space="preserve">6110309900</t>
        </is>
      </c>
      <c r="M164" t="inlineStr">
        <is>
          <t xml:space="preserve">Декларация № ЕАЭС № BY/112 11.01. ТР017 122.01 08246, до 19.04.2028</t>
        </is>
      </c>
      <c r="N164" t="inlineStr">
        <is>
          <t xml:space="preserve">35 × 30 × 5</t>
        </is>
      </c>
      <c r="O164" t="inlineStr">
        <is>
          <t xml:space="preserve">0,54</t>
        </is>
      </c>
      <c r="P164" t="inlineStr">
        <is>
          <t xml:space="preserve">4816148170989</t>
        </is>
      </c>
      <c r="Q164" s="3" t="str">
        <f>HYPERLINK("https://modify.by/img/591428327/1.webp","фото")</f>
        <v>фото</v>
      </c>
      <c r="R164" s="3" t="str">
        <f>HYPERLINK("https://modify.by/catalog/dzhempery/591428327/?utm_source=price&amp;utm_medium=xlsx","открыть")</f>
        <v>открыть</v>
      </c>
    </row>
    <row r="165">
      <c r="A165" t="inlineStr">
        <is>
          <t xml:space="preserve">Женский</t>
        </is>
      </c>
      <c r="B165" t="inlineStr">
        <is>
          <t xml:space="preserve">Джемперы</t>
        </is>
      </c>
      <c r="C165" t="inlineStr">
        <is>
          <t xml:space="preserve">Свитер ажурной вязки оверсайз</t>
        </is>
      </c>
      <c r="D165" t="inlineStr">
        <is>
          <t xml:space="preserve">SW52W01светло-зеленый</t>
        </is>
      </c>
      <c r="E165" t="inlineStr">
        <is>
          <t xml:space="preserve">светло-зеленый, пастельно-мятный</t>
        </is>
      </c>
      <c r="F165" t="inlineStr">
        <is>
          <t xml:space="preserve">48</t>
        </is>
      </c>
      <c r="G165">
        <v>78</v>
      </c>
      <c r="H165" s="2">
        <v>39.0</v>
      </c>
      <c r="I165" t="inlineStr">
        <is>
          <t xml:space="preserve">полиэфирный шелк</t>
        </is>
      </c>
      <c r="J165"/>
      <c r="K165" t="inlineStr">
        <is>
          <t xml:space="preserve">Бангладеш</t>
        </is>
      </c>
      <c r="L165" t="inlineStr">
        <is>
          <t xml:space="preserve">6110309900</t>
        </is>
      </c>
      <c r="M165" t="inlineStr">
        <is>
          <t xml:space="preserve">Декларация № ЕАЭС № BY/112 11.01. ТР017 122.01 08246, до 19.04.2028</t>
        </is>
      </c>
      <c r="N165" t="inlineStr">
        <is>
          <t xml:space="preserve">35 × 30 × 5</t>
        </is>
      </c>
      <c r="O165" t="inlineStr">
        <is>
          <t xml:space="preserve">0,54</t>
        </is>
      </c>
      <c r="P165" t="inlineStr">
        <is>
          <t xml:space="preserve">4816148170996</t>
        </is>
      </c>
      <c r="Q165" s="3" t="str">
        <f>HYPERLINK("https://modify.by/img/591428327/1.webp","фото")</f>
        <v>фото</v>
      </c>
      <c r="R165" s="3" t="str">
        <f>HYPERLINK("https://modify.by/catalog/dzhempery/591428327/?utm_source=price&amp;utm_medium=xlsx","открыть")</f>
        <v>открыть</v>
      </c>
    </row>
    <row r="166">
      <c r="A166" t="inlineStr">
        <is>
          <t xml:space="preserve">Женский</t>
        </is>
      </c>
      <c r="B166" t="inlineStr">
        <is>
          <t xml:space="preserve">Джемперы</t>
        </is>
      </c>
      <c r="C166" t="inlineStr">
        <is>
          <t xml:space="preserve">Свитер ажурной вязки оверсайз</t>
        </is>
      </c>
      <c r="D166" t="inlineStr">
        <is>
          <t xml:space="preserve">SW52W01светло-зеленый</t>
        </is>
      </c>
      <c r="E166" t="inlineStr">
        <is>
          <t xml:space="preserve">светло-зеленый, пастельно-мятный</t>
        </is>
      </c>
      <c r="F166" t="inlineStr">
        <is>
          <t xml:space="preserve">50</t>
        </is>
      </c>
      <c r="G166">
        <v>29</v>
      </c>
      <c r="H166" s="2">
        <v>39.0</v>
      </c>
      <c r="I166" t="inlineStr">
        <is>
          <t xml:space="preserve">полиэфирный шелк</t>
        </is>
      </c>
      <c r="J166"/>
      <c r="K166" t="inlineStr">
        <is>
          <t xml:space="preserve">Бангладеш</t>
        </is>
      </c>
      <c r="L166" t="inlineStr">
        <is>
          <t xml:space="preserve">6110309900</t>
        </is>
      </c>
      <c r="M166" t="inlineStr">
        <is>
          <t xml:space="preserve">Декларация № ЕАЭС № BY/112 11.01. ТР017 122.01 08246, до 19.04.2028</t>
        </is>
      </c>
      <c r="N166" t="inlineStr">
        <is>
          <t xml:space="preserve">35 × 30 × 5</t>
        </is>
      </c>
      <c r="O166" t="inlineStr">
        <is>
          <t xml:space="preserve">0,54</t>
        </is>
      </c>
      <c r="P166" t="inlineStr">
        <is>
          <t xml:space="preserve">4816148171009</t>
        </is>
      </c>
      <c r="Q166" s="3" t="str">
        <f>HYPERLINK("https://modify.by/img/591428327/1.webp","фото")</f>
        <v>фото</v>
      </c>
      <c r="R166" s="3" t="str">
        <f>HYPERLINK("https://modify.by/catalog/dzhempery/591428327/?utm_source=price&amp;utm_medium=xlsx","открыть")</f>
        <v>открыть</v>
      </c>
    </row>
    <row r="167">
      <c r="A167" t="inlineStr">
        <is>
          <t xml:space="preserve">Женский</t>
        </is>
      </c>
      <c r="B167" t="inlineStr">
        <is>
          <t xml:space="preserve">Джемперы</t>
        </is>
      </c>
      <c r="C167" t="inlineStr">
        <is>
          <t xml:space="preserve">Свитер ажурной вязки оверсайз</t>
        </is>
      </c>
      <c r="D167" t="inlineStr">
        <is>
          <t xml:space="preserve">SW52W01светло-зеленый</t>
        </is>
      </c>
      <c r="E167" t="inlineStr">
        <is>
          <t xml:space="preserve">светло-зеленый, пастельно-мятный</t>
        </is>
      </c>
      <c r="F167" t="inlineStr">
        <is>
          <t xml:space="preserve">52</t>
        </is>
      </c>
      <c r="G167">
        <v>3</v>
      </c>
      <c r="H167" s="2">
        <v>39.0</v>
      </c>
      <c r="I167" t="inlineStr">
        <is>
          <t xml:space="preserve">полиэфирный шелк</t>
        </is>
      </c>
      <c r="J167"/>
      <c r="K167" t="inlineStr">
        <is>
          <t xml:space="preserve">Бангладеш</t>
        </is>
      </c>
      <c r="L167" t="inlineStr">
        <is>
          <t xml:space="preserve">6110309900</t>
        </is>
      </c>
      <c r="M167" t="inlineStr">
        <is>
          <t xml:space="preserve">Декларация № ЕАЭС № BY/112 11.01. ТР017 122.01 08246, до 19.04.2028</t>
        </is>
      </c>
      <c r="N167" t="inlineStr">
        <is>
          <t xml:space="preserve">35 × 30 × 5</t>
        </is>
      </c>
      <c r="O167" t="inlineStr">
        <is>
          <t xml:space="preserve">0,54</t>
        </is>
      </c>
      <c r="P167" t="inlineStr">
        <is>
          <t xml:space="preserve">4816148171016</t>
        </is>
      </c>
      <c r="Q167" s="3" t="str">
        <f>HYPERLINK("https://modify.by/img/591428327/1.webp","фото")</f>
        <v>фото</v>
      </c>
      <c r="R167" s="3" t="str">
        <f>HYPERLINK("https://modify.by/catalog/dzhempery/591428327/?utm_source=price&amp;utm_medium=xlsx","открыть")</f>
        <v>открыть</v>
      </c>
    </row>
    <row r="168">
      <c r="A168" t="inlineStr">
        <is>
          <t xml:space="preserve">Женский</t>
        </is>
      </c>
      <c r="B168" t="inlineStr">
        <is>
          <t xml:space="preserve">Джемперы</t>
        </is>
      </c>
      <c r="C168" t="inlineStr">
        <is>
          <t xml:space="preserve">Свитер-водолазка красный теплый</t>
        </is>
      </c>
      <c r="D168" t="inlineStr">
        <is>
          <t xml:space="preserve">SW52W03красный,серый</t>
        </is>
      </c>
      <c r="E168" t="inlineStr">
        <is>
          <t xml:space="preserve">красный, серый меланж</t>
        </is>
      </c>
      <c r="F168" t="inlineStr">
        <is>
          <t xml:space="preserve">44</t>
        </is>
      </c>
      <c r="G168">
        <v>44</v>
      </c>
      <c r="H168" s="2">
        <v>28.0</v>
      </c>
      <c r="I168" t="inlineStr">
        <is>
          <t xml:space="preserve">73% акрил 25% полиэстер 2% эластан</t>
        </is>
      </c>
      <c r="J168"/>
      <c r="K168" t="inlineStr">
        <is>
          <t xml:space="preserve">Бангладеш</t>
        </is>
      </c>
      <c r="L168" t="inlineStr">
        <is>
          <t xml:space="preserve">6110209900</t>
        </is>
      </c>
      <c r="M168" t="inlineStr">
        <is>
          <t xml:space="preserve">Декларация № ЕАЭС № BY/112 11.01. ТР017 122.01 08246, до 19.04.2028</t>
        </is>
      </c>
      <c r="N168" t="inlineStr">
        <is>
          <t xml:space="preserve">35 × 30 × 2</t>
        </is>
      </c>
      <c r="O168" t="inlineStr">
        <is>
          <t xml:space="preserve">0,37</t>
        </is>
      </c>
      <c r="P168" t="inlineStr">
        <is>
          <t xml:space="preserve">4816148165381</t>
        </is>
      </c>
      <c r="Q168" s="3" t="str">
        <f>HYPERLINK("https://modify.by/img/527988035/1.webp","фото")</f>
        <v>фото</v>
      </c>
      <c r="R168" s="3" t="str">
        <f>HYPERLINK("https://modify.by/catalog/dzhempery/527988035/?utm_source=price&amp;utm_medium=xlsx","открыть")</f>
        <v>открыть</v>
      </c>
    </row>
    <row r="169">
      <c r="A169" t="inlineStr">
        <is>
          <t xml:space="preserve">Женский</t>
        </is>
      </c>
      <c r="B169" t="inlineStr">
        <is>
          <t xml:space="preserve">Джемперы</t>
        </is>
      </c>
      <c r="C169" t="inlineStr">
        <is>
          <t xml:space="preserve">Свитер-водолазка красный теплый</t>
        </is>
      </c>
      <c r="D169" t="inlineStr">
        <is>
          <t xml:space="preserve">SW52W03красный,серый</t>
        </is>
      </c>
      <c r="E169" t="inlineStr">
        <is>
          <t xml:space="preserve">красный, серый меланж</t>
        </is>
      </c>
      <c r="F169" t="inlineStr">
        <is>
          <t xml:space="preserve">46</t>
        </is>
      </c>
      <c r="G169">
        <v>65</v>
      </c>
      <c r="H169" s="2">
        <v>28.0</v>
      </c>
      <c r="I169" t="inlineStr">
        <is>
          <t xml:space="preserve">73% акрил 25% полиэстер 2% эластан</t>
        </is>
      </c>
      <c r="J169"/>
      <c r="K169" t="inlineStr">
        <is>
          <t xml:space="preserve">Бангладеш</t>
        </is>
      </c>
      <c r="L169" t="inlineStr">
        <is>
          <t xml:space="preserve">6110209900</t>
        </is>
      </c>
      <c r="M169" t="inlineStr">
        <is>
          <t xml:space="preserve">Декларация № ЕАЭС № BY/112 11.01. ТР017 122.01 08246, до 19.04.2028</t>
        </is>
      </c>
      <c r="N169" t="inlineStr">
        <is>
          <t xml:space="preserve">35 × 30 × 2</t>
        </is>
      </c>
      <c r="O169" t="inlineStr">
        <is>
          <t xml:space="preserve">0,37</t>
        </is>
      </c>
      <c r="P169" t="inlineStr">
        <is>
          <t xml:space="preserve">4816148165398</t>
        </is>
      </c>
      <c r="Q169" s="3" t="str">
        <f>HYPERLINK("https://modify.by/img/527988035/1.webp","фото")</f>
        <v>фото</v>
      </c>
      <c r="R169" s="3" t="str">
        <f>HYPERLINK("https://modify.by/catalog/dzhempery/527988035/?utm_source=price&amp;utm_medium=xlsx","открыть")</f>
        <v>открыть</v>
      </c>
    </row>
    <row r="170">
      <c r="A170" t="inlineStr">
        <is>
          <t xml:space="preserve">Женский</t>
        </is>
      </c>
      <c r="B170" t="inlineStr">
        <is>
          <t xml:space="preserve">Джемперы</t>
        </is>
      </c>
      <c r="C170" t="inlineStr">
        <is>
          <t xml:space="preserve">Свитер-водолазка красный теплый</t>
        </is>
      </c>
      <c r="D170" t="inlineStr">
        <is>
          <t xml:space="preserve">SW52W03красный,серый</t>
        </is>
      </c>
      <c r="E170" t="inlineStr">
        <is>
          <t xml:space="preserve">красный, серый меланж</t>
        </is>
      </c>
      <c r="F170" t="inlineStr">
        <is>
          <t xml:space="preserve">48</t>
        </is>
      </c>
      <c r="G170">
        <v>46</v>
      </c>
      <c r="H170" s="2">
        <v>28.0</v>
      </c>
      <c r="I170" t="inlineStr">
        <is>
          <t xml:space="preserve">73% акрил 25% полиэстер 2% эластан</t>
        </is>
      </c>
      <c r="J170"/>
      <c r="K170" t="inlineStr">
        <is>
          <t xml:space="preserve">Бангладеш</t>
        </is>
      </c>
      <c r="L170" t="inlineStr">
        <is>
          <t xml:space="preserve">6110209900</t>
        </is>
      </c>
      <c r="M170" t="inlineStr">
        <is>
          <t xml:space="preserve">Декларация № ЕАЭС № BY/112 11.01. ТР017 122.01 08246, до 19.04.2028</t>
        </is>
      </c>
      <c r="N170" t="inlineStr">
        <is>
          <t xml:space="preserve">35 × 30 × 2</t>
        </is>
      </c>
      <c r="O170" t="inlineStr">
        <is>
          <t xml:space="preserve">0,37</t>
        </is>
      </c>
      <c r="P170" t="inlineStr">
        <is>
          <t xml:space="preserve">4816148165404</t>
        </is>
      </c>
      <c r="Q170" s="3" t="str">
        <f>HYPERLINK("https://modify.by/img/527988035/1.webp","фото")</f>
        <v>фото</v>
      </c>
      <c r="R170" s="3" t="str">
        <f>HYPERLINK("https://modify.by/catalog/dzhempery/527988035/?utm_source=price&amp;utm_medium=xlsx","открыть")</f>
        <v>открыть</v>
      </c>
    </row>
    <row r="171">
      <c r="A171" t="inlineStr">
        <is>
          <t xml:space="preserve">Женский</t>
        </is>
      </c>
      <c r="B171" t="inlineStr">
        <is>
          <t xml:space="preserve">Джемперы</t>
        </is>
      </c>
      <c r="C171" t="inlineStr">
        <is>
          <t xml:space="preserve">Свитер-водолазка красный теплый</t>
        </is>
      </c>
      <c r="D171" t="inlineStr">
        <is>
          <t xml:space="preserve">SW52W03красный,серый</t>
        </is>
      </c>
      <c r="E171" t="inlineStr">
        <is>
          <t xml:space="preserve">красный, серый меланж</t>
        </is>
      </c>
      <c r="F171" t="inlineStr">
        <is>
          <t xml:space="preserve">50</t>
        </is>
      </c>
      <c r="G171">
        <v>36</v>
      </c>
      <c r="H171" s="2">
        <v>28.0</v>
      </c>
      <c r="I171" t="inlineStr">
        <is>
          <t xml:space="preserve">73% акрил 25% полиэстер 2% эластан</t>
        </is>
      </c>
      <c r="J171"/>
      <c r="K171" t="inlineStr">
        <is>
          <t xml:space="preserve">Бангладеш</t>
        </is>
      </c>
      <c r="L171" t="inlineStr">
        <is>
          <t xml:space="preserve">6110209900</t>
        </is>
      </c>
      <c r="M171" t="inlineStr">
        <is>
          <t xml:space="preserve">Декларация № ЕАЭС № BY/112 11.01. ТР017 122.01 08246, до 19.04.2028</t>
        </is>
      </c>
      <c r="N171" t="inlineStr">
        <is>
          <t xml:space="preserve">35 × 30 × 2</t>
        </is>
      </c>
      <c r="O171" t="inlineStr">
        <is>
          <t xml:space="preserve">0,37</t>
        </is>
      </c>
      <c r="P171" t="inlineStr">
        <is>
          <t xml:space="preserve">4816148165411</t>
        </is>
      </c>
      <c r="Q171" s="3" t="str">
        <f>HYPERLINK("https://modify.by/img/527988035/1.webp","фото")</f>
        <v>фото</v>
      </c>
      <c r="R171" s="3" t="str">
        <f>HYPERLINK("https://modify.by/catalog/dzhempery/527988035/?utm_source=price&amp;utm_medium=xlsx","открыть")</f>
        <v>открыть</v>
      </c>
    </row>
    <row r="172">
      <c r="A172" t="inlineStr">
        <is>
          <t xml:space="preserve">Женский</t>
        </is>
      </c>
      <c r="B172" t="inlineStr">
        <is>
          <t xml:space="preserve">Джинсы</t>
        </is>
      </c>
      <c r="C172" t="inlineStr">
        <is>
          <t xml:space="preserve">Брюки укороченные деми</t>
        </is>
      </c>
      <c r="D172" t="inlineStr">
        <is>
          <t xml:space="preserve">JE32W02Темно-синий</t>
        </is>
      </c>
      <c r="E172" t="inlineStr">
        <is>
          <t xml:space="preserve">темно-синий</t>
        </is>
      </c>
      <c r="F172" t="inlineStr">
        <is>
          <t xml:space="preserve">38</t>
        </is>
      </c>
      <c r="G172">
        <v>3</v>
      </c>
      <c r="H172" s="2">
        <v>36.0</v>
      </c>
      <c r="I172" t="inlineStr">
        <is>
          <t xml:space="preserve">Хлопок 98% Эластан 2%</t>
        </is>
      </c>
      <c r="J172" t="inlineStr">
        <is>
          <t xml:space="preserve">демисезон</t>
        </is>
      </c>
      <c r="K172" t="inlineStr">
        <is>
          <t xml:space="preserve">Бангладеш</t>
        </is>
      </c>
      <c r="L172" t="inlineStr">
        <is>
          <t xml:space="preserve">6204623100</t>
        </is>
      </c>
      <c r="M172" t="inlineStr">
        <is>
          <t xml:space="preserve">Декларация № ЕАЭС № BY/112 11.01. ТР017 122.01 08246, до 19.04.2028</t>
        </is>
      </c>
      <c r="N172" t="inlineStr">
        <is>
          <t xml:space="preserve">30 × 35 × 4</t>
        </is>
      </c>
      <c r="O172" t="inlineStr">
        <is>
          <t xml:space="preserve">0,38</t>
        </is>
      </c>
      <c r="P172" t="inlineStr">
        <is>
          <t xml:space="preserve">2026620771937</t>
        </is>
      </c>
      <c r="Q172" s="3" t="str">
        <f>HYPERLINK("https://modify.by/img/153600416/1.webp","фото")</f>
        <v>фото</v>
      </c>
      <c r="R172" s="3" t="str">
        <f>HYPERLINK("https://modify.by/catalog/dzhinsy/153600416/?utm_source=price&amp;utm_medium=xlsx","открыть")</f>
        <v>открыть</v>
      </c>
    </row>
    <row r="173">
      <c r="A173" t="inlineStr">
        <is>
          <t xml:space="preserve">Женский</t>
        </is>
      </c>
      <c r="B173" t="inlineStr">
        <is>
          <t xml:space="preserve">Джинсы</t>
        </is>
      </c>
      <c r="C173" t="inlineStr">
        <is>
          <t xml:space="preserve">Брюки укороченные деми</t>
        </is>
      </c>
      <c r="D173" t="inlineStr">
        <is>
          <t xml:space="preserve">JE32W02Темно-синий</t>
        </is>
      </c>
      <c r="E173" t="inlineStr">
        <is>
          <t xml:space="preserve">темно-синий</t>
        </is>
      </c>
      <c r="F173" t="inlineStr">
        <is>
          <t xml:space="preserve">38</t>
        </is>
      </c>
      <c r="G173">
        <v>3</v>
      </c>
      <c r="H173" s="2">
        <v>36.0</v>
      </c>
      <c r="I173" t="inlineStr">
        <is>
          <t xml:space="preserve">Хлопок 98% Эластан 2%</t>
        </is>
      </c>
      <c r="J173" t="inlineStr">
        <is>
          <t xml:space="preserve">демисезон</t>
        </is>
      </c>
      <c r="K173" t="inlineStr">
        <is>
          <t xml:space="preserve">Бангладеш</t>
        </is>
      </c>
      <c r="L173" t="inlineStr">
        <is>
          <t xml:space="preserve">6204623100</t>
        </is>
      </c>
      <c r="M173" t="inlineStr">
        <is>
          <t xml:space="preserve">Декларация № ЕАЭС № BY/112 11.01. ТР017 122.01 08246, до 19.04.2028</t>
        </is>
      </c>
      <c r="N173" t="inlineStr">
        <is>
          <t xml:space="preserve">30 × 35 × 4</t>
        </is>
      </c>
      <c r="O173" t="inlineStr">
        <is>
          <t xml:space="preserve">0,38</t>
        </is>
      </c>
      <c r="P173" t="inlineStr">
        <is>
          <t xml:space="preserve">4816148128546</t>
        </is>
      </c>
      <c r="Q173" s="3" t="str">
        <f>HYPERLINK("https://modify.by/img/153600416/1.webp","фото")</f>
        <v>фото</v>
      </c>
      <c r="R173" s="3" t="str">
        <f>HYPERLINK("https://modify.by/catalog/dzhinsy/153600416/?utm_source=price&amp;utm_medium=xlsx","открыть")</f>
        <v>открыть</v>
      </c>
    </row>
    <row r="174">
      <c r="A174" t="inlineStr">
        <is>
          <t xml:space="preserve">Женский</t>
        </is>
      </c>
      <c r="B174" t="inlineStr">
        <is>
          <t xml:space="preserve">Джинсы</t>
        </is>
      </c>
      <c r="C174" t="inlineStr">
        <is>
          <t xml:space="preserve">Брюки укороченные деми</t>
        </is>
      </c>
      <c r="D174" t="inlineStr">
        <is>
          <t xml:space="preserve">JE32W02Темно-синий</t>
        </is>
      </c>
      <c r="E174" t="inlineStr">
        <is>
          <t xml:space="preserve">темно-синий</t>
        </is>
      </c>
      <c r="F174" t="inlineStr">
        <is>
          <t xml:space="preserve">40</t>
        </is>
      </c>
      <c r="G174">
        <v>6</v>
      </c>
      <c r="H174" s="2">
        <v>36.0</v>
      </c>
      <c r="I174" t="inlineStr">
        <is>
          <t xml:space="preserve">Хлопок 98% Эластан 2%</t>
        </is>
      </c>
      <c r="J174" t="inlineStr">
        <is>
          <t xml:space="preserve">демисезон</t>
        </is>
      </c>
      <c r="K174" t="inlineStr">
        <is>
          <t xml:space="preserve">Бангладеш</t>
        </is>
      </c>
      <c r="L174" t="inlineStr">
        <is>
          <t xml:space="preserve">6204623100</t>
        </is>
      </c>
      <c r="M174" t="inlineStr">
        <is>
          <t xml:space="preserve">Декларация № ЕАЭС № BY/112 11.01. ТР017 122.01 08246, до 19.04.2028</t>
        </is>
      </c>
      <c r="N174" t="inlineStr">
        <is>
          <t xml:space="preserve">30 × 35 × 4</t>
        </is>
      </c>
      <c r="O174" t="inlineStr">
        <is>
          <t xml:space="preserve">0,38</t>
        </is>
      </c>
      <c r="P174" t="inlineStr">
        <is>
          <t xml:space="preserve">2026620771920</t>
        </is>
      </c>
      <c r="Q174" s="3" t="str">
        <f>HYPERLINK("https://modify.by/img/153600416/1.webp","фото")</f>
        <v>фото</v>
      </c>
      <c r="R174" s="3" t="str">
        <f>HYPERLINK("https://modify.by/catalog/dzhinsy/153600416/?utm_source=price&amp;utm_medium=xlsx","открыть")</f>
        <v>открыть</v>
      </c>
    </row>
    <row r="175">
      <c r="A175" t="inlineStr">
        <is>
          <t xml:space="preserve">Женский</t>
        </is>
      </c>
      <c r="B175" t="inlineStr">
        <is>
          <t xml:space="preserve">Джинсы</t>
        </is>
      </c>
      <c r="C175" t="inlineStr">
        <is>
          <t xml:space="preserve">Брюки укороченные деми</t>
        </is>
      </c>
      <c r="D175" t="inlineStr">
        <is>
          <t xml:space="preserve">JE32W02Темно-синий</t>
        </is>
      </c>
      <c r="E175" t="inlineStr">
        <is>
          <t xml:space="preserve">темно-синий</t>
        </is>
      </c>
      <c r="F175" t="inlineStr">
        <is>
          <t xml:space="preserve">40</t>
        </is>
      </c>
      <c r="G175">
        <v>6</v>
      </c>
      <c r="H175" s="2">
        <v>36.0</v>
      </c>
      <c r="I175" t="inlineStr">
        <is>
          <t xml:space="preserve">Хлопок 98% Эластан 2%</t>
        </is>
      </c>
      <c r="J175" t="inlineStr">
        <is>
          <t xml:space="preserve">демисезон</t>
        </is>
      </c>
      <c r="K175" t="inlineStr">
        <is>
          <t xml:space="preserve">Бангладеш</t>
        </is>
      </c>
      <c r="L175" t="inlineStr">
        <is>
          <t xml:space="preserve">6204623100</t>
        </is>
      </c>
      <c r="M175" t="inlineStr">
        <is>
          <t xml:space="preserve">Декларация № ЕАЭС № BY/112 11.01. ТР017 122.01 08246, до 19.04.2028</t>
        </is>
      </c>
      <c r="N175" t="inlineStr">
        <is>
          <t xml:space="preserve">30 × 35 × 4</t>
        </is>
      </c>
      <c r="O175" t="inlineStr">
        <is>
          <t xml:space="preserve">0,38</t>
        </is>
      </c>
      <c r="P175" t="inlineStr">
        <is>
          <t xml:space="preserve">4816148109002</t>
        </is>
      </c>
      <c r="Q175" s="3" t="str">
        <f>HYPERLINK("https://modify.by/img/153600416/1.webp","фото")</f>
        <v>фото</v>
      </c>
      <c r="R175" s="3" t="str">
        <f>HYPERLINK("https://modify.by/catalog/dzhinsy/153600416/?utm_source=price&amp;utm_medium=xlsx","открыть")</f>
        <v>открыть</v>
      </c>
    </row>
    <row r="176">
      <c r="A176" t="inlineStr">
        <is>
          <t xml:space="preserve">Женский</t>
        </is>
      </c>
      <c r="B176" t="inlineStr">
        <is>
          <t xml:space="preserve">Джинсы</t>
        </is>
      </c>
      <c r="C176" t="inlineStr">
        <is>
          <t xml:space="preserve">Брюки укороченные деми</t>
        </is>
      </c>
      <c r="D176" t="inlineStr">
        <is>
          <t xml:space="preserve">JE32W02Темно-синий</t>
        </is>
      </c>
      <c r="E176" t="inlineStr">
        <is>
          <t xml:space="preserve">темно-синий</t>
        </is>
      </c>
      <c r="F176" t="inlineStr">
        <is>
          <t xml:space="preserve">42</t>
        </is>
      </c>
      <c r="G176">
        <v>1</v>
      </c>
      <c r="H176" s="2">
        <v>36.0</v>
      </c>
      <c r="I176" t="inlineStr">
        <is>
          <t xml:space="preserve">Хлопок 98% Эластан 2%</t>
        </is>
      </c>
      <c r="J176" t="inlineStr">
        <is>
          <t xml:space="preserve">демисезон</t>
        </is>
      </c>
      <c r="K176" t="inlineStr">
        <is>
          <t xml:space="preserve">Бангладеш</t>
        </is>
      </c>
      <c r="L176" t="inlineStr">
        <is>
          <t xml:space="preserve">6204623100</t>
        </is>
      </c>
      <c r="M176" t="inlineStr">
        <is>
          <t xml:space="preserve">Декларация № ЕАЭС № BY/112 11.01. ТР017 122.01 08246, до 19.04.2028</t>
        </is>
      </c>
      <c r="N176" t="inlineStr">
        <is>
          <t xml:space="preserve">30 × 35 × 4</t>
        </is>
      </c>
      <c r="O176" t="inlineStr">
        <is>
          <t xml:space="preserve">0,38</t>
        </is>
      </c>
      <c r="P176" t="inlineStr">
        <is>
          <t xml:space="preserve">2026620771913</t>
        </is>
      </c>
      <c r="Q176" s="3" t="str">
        <f>HYPERLINK("https://modify.by/img/153600416/1.webp","фото")</f>
        <v>фото</v>
      </c>
      <c r="R176" s="3" t="str">
        <f>HYPERLINK("https://modify.by/catalog/dzhinsy/153600416/?utm_source=price&amp;utm_medium=xlsx","открыть")</f>
        <v>открыть</v>
      </c>
    </row>
    <row r="177">
      <c r="A177" t="inlineStr">
        <is>
          <t xml:space="preserve">Женский</t>
        </is>
      </c>
      <c r="B177" t="inlineStr">
        <is>
          <t xml:space="preserve">Джинсы</t>
        </is>
      </c>
      <c r="C177" t="inlineStr">
        <is>
          <t xml:space="preserve">Брюки укороченные деми</t>
        </is>
      </c>
      <c r="D177" t="inlineStr">
        <is>
          <t xml:space="preserve">JE32W02Темно-синий</t>
        </is>
      </c>
      <c r="E177" t="inlineStr">
        <is>
          <t xml:space="preserve">темно-синий</t>
        </is>
      </c>
      <c r="F177" t="inlineStr">
        <is>
          <t xml:space="preserve">42</t>
        </is>
      </c>
      <c r="G177">
        <v>1</v>
      </c>
      <c r="H177" s="2">
        <v>36.0</v>
      </c>
      <c r="I177" t="inlineStr">
        <is>
          <t xml:space="preserve">Хлопок 98% Эластан 2%</t>
        </is>
      </c>
      <c r="J177" t="inlineStr">
        <is>
          <t xml:space="preserve">демисезон</t>
        </is>
      </c>
      <c r="K177" t="inlineStr">
        <is>
          <t xml:space="preserve">Бангладеш</t>
        </is>
      </c>
      <c r="L177" t="inlineStr">
        <is>
          <t xml:space="preserve">6204623100</t>
        </is>
      </c>
      <c r="M177" t="inlineStr">
        <is>
          <t xml:space="preserve">Декларация № ЕАЭС № BY/112 11.01. ТР017 122.01 08246, до 19.04.2028</t>
        </is>
      </c>
      <c r="N177" t="inlineStr">
        <is>
          <t xml:space="preserve">30 × 35 × 4</t>
        </is>
      </c>
      <c r="O177" t="inlineStr">
        <is>
          <t xml:space="preserve">0,38</t>
        </is>
      </c>
      <c r="P177" t="inlineStr">
        <is>
          <t xml:space="preserve">4816148109019</t>
        </is>
      </c>
      <c r="Q177" s="3" t="str">
        <f>HYPERLINK("https://modify.by/img/153600416/1.webp","фото")</f>
        <v>фото</v>
      </c>
      <c r="R177" s="3" t="str">
        <f>HYPERLINK("https://modify.by/catalog/dzhinsy/153600416/?utm_source=price&amp;utm_medium=xlsx","открыть")</f>
        <v>открыть</v>
      </c>
    </row>
    <row r="178">
      <c r="A178" t="inlineStr">
        <is>
          <t xml:space="preserve">Женский</t>
        </is>
      </c>
      <c r="B178" t="inlineStr">
        <is>
          <t xml:space="preserve">Джинсы</t>
        </is>
      </c>
      <c r="C178" t="inlineStr">
        <is>
          <t xml:space="preserve">Джинсы Slim fit с высокой посадкой белые</t>
        </is>
      </c>
      <c r="D178" t="inlineStr">
        <is>
          <t xml:space="preserve">JE3332W041Белый</t>
        </is>
      </c>
      <c r="E178" t="inlineStr">
        <is>
          <t xml:space="preserve">белый</t>
        </is>
      </c>
      <c r="F178" t="inlineStr">
        <is>
          <t xml:space="preserve">34</t>
        </is>
      </c>
      <c r="G178">
        <v>1</v>
      </c>
      <c r="H178" s="2">
        <v>72.0</v>
      </c>
      <c r="I178" t="inlineStr">
        <is>
          <t xml:space="preserve">Хлопок 98% эластан 2%</t>
        </is>
      </c>
      <c r="J178" t="inlineStr">
        <is>
          <t xml:space="preserve">демисезон</t>
        </is>
      </c>
      <c r="K178" t="inlineStr">
        <is>
          <t xml:space="preserve">Турция</t>
        </is>
      </c>
      <c r="L178" t="inlineStr">
        <is>
          <t xml:space="preserve">6204623100</t>
        </is>
      </c>
      <c r="M178" t="inlineStr">
        <is>
          <t xml:space="preserve">Декларация № ЕАЭС № BY/112 11.01 ТР017 122.01 08885, до 21.06.2028</t>
        </is>
      </c>
      <c r="N178"/>
      <c r="O178"/>
      <c r="P178" t="inlineStr">
        <is>
          <t xml:space="preserve">2038096170299</t>
        </is>
      </c>
      <c r="Q178" s="3" t="str">
        <f>HYPERLINK("https://modify.by/img/179022395/1.webp","фото")</f>
        <v>фото</v>
      </c>
      <c r="R178" s="3" t="str">
        <f>HYPERLINK("https://modify.by/catalog/dzhinsy/179022395/?utm_source=price&amp;utm_medium=xlsx","открыть")</f>
        <v>открыть</v>
      </c>
    </row>
    <row r="179">
      <c r="A179" t="inlineStr">
        <is>
          <t xml:space="preserve">Женский</t>
        </is>
      </c>
      <c r="B179" t="inlineStr">
        <is>
          <t xml:space="preserve">Джинсы</t>
        </is>
      </c>
      <c r="C179" t="inlineStr">
        <is>
          <t xml:space="preserve">Джинсы Slim fit с высокой посадкой белые</t>
        </is>
      </c>
      <c r="D179" t="inlineStr">
        <is>
          <t xml:space="preserve">JE3332W041Белый</t>
        </is>
      </c>
      <c r="E179" t="inlineStr">
        <is>
          <t xml:space="preserve">белый</t>
        </is>
      </c>
      <c r="F179" t="inlineStr">
        <is>
          <t xml:space="preserve">36</t>
        </is>
      </c>
      <c r="G179">
        <v>1</v>
      </c>
      <c r="H179" s="2">
        <v>72.0</v>
      </c>
      <c r="I179" t="inlineStr">
        <is>
          <t xml:space="preserve">Хлопок 98% эластан 2%</t>
        </is>
      </c>
      <c r="J179" t="inlineStr">
        <is>
          <t xml:space="preserve">демисезон</t>
        </is>
      </c>
      <c r="K179" t="inlineStr">
        <is>
          <t xml:space="preserve">Турция</t>
        </is>
      </c>
      <c r="L179" t="inlineStr">
        <is>
          <t xml:space="preserve">6204623100</t>
        </is>
      </c>
      <c r="M179" t="inlineStr">
        <is>
          <t xml:space="preserve">Декларация № ЕАЭС № BY/112 11.01 ТР017 122.01 08885, до 21.06.2028</t>
        </is>
      </c>
      <c r="N179"/>
      <c r="O179"/>
      <c r="P179" t="inlineStr">
        <is>
          <t xml:space="preserve">2038096170305</t>
        </is>
      </c>
      <c r="Q179" s="3" t="str">
        <f>HYPERLINK("https://modify.by/img/179022395/1.webp","фото")</f>
        <v>фото</v>
      </c>
      <c r="R179" s="3" t="str">
        <f>HYPERLINK("https://modify.by/catalog/dzhinsy/179022395/?utm_source=price&amp;utm_medium=xlsx","открыть")</f>
        <v>открыть</v>
      </c>
    </row>
    <row r="180">
      <c r="A180" t="inlineStr">
        <is>
          <t xml:space="preserve">Женский</t>
        </is>
      </c>
      <c r="B180" t="inlineStr">
        <is>
          <t xml:space="preserve">Джинсы</t>
        </is>
      </c>
      <c r="C180" t="inlineStr">
        <is>
          <t xml:space="preserve">Джинсы с высокой посадкой прямые стрейч</t>
        </is>
      </c>
      <c r="D180" t="inlineStr">
        <is>
          <t xml:space="preserve">JE32W031синий</t>
        </is>
      </c>
      <c r="E180" t="inlineStr">
        <is>
          <t xml:space="preserve">синий</t>
        </is>
      </c>
      <c r="F180" t="inlineStr">
        <is>
          <t xml:space="preserve">54/158</t>
        </is>
      </c>
      <c r="G180">
        <v>1</v>
      </c>
      <c r="H180" s="2">
        <v>37.0</v>
      </c>
      <c r="I180" t="inlineStr">
        <is>
          <t xml:space="preserve">хлопок 75% полиамид 23% эластан 2%</t>
        </is>
      </c>
      <c r="J180" t="inlineStr">
        <is>
          <t xml:space="preserve">демисезон</t>
        </is>
      </c>
      <c r="K180" t="inlineStr">
        <is>
          <t xml:space="preserve">Бангладеш</t>
        </is>
      </c>
      <c r="L180" t="inlineStr">
        <is>
          <t xml:space="preserve">6204623100</t>
        </is>
      </c>
      <c r="M180" t="inlineStr">
        <is>
          <t xml:space="preserve">по запросу</t>
        </is>
      </c>
      <c r="N180" t="inlineStr">
        <is>
          <t xml:space="preserve">38 × 29 × 2</t>
        </is>
      </c>
      <c r="O180" t="inlineStr">
        <is>
          <t xml:space="preserve">0,45</t>
        </is>
      </c>
      <c r="P180" t="inlineStr">
        <is>
          <t xml:space="preserve">2038096197463</t>
        </is>
      </c>
      <c r="Q180" s="3" t="str">
        <f>HYPERLINK("https://modify.by/img/200736648/1.webp","фото")</f>
        <v>фото</v>
      </c>
      <c r="R180" s="3" t="str">
        <f>HYPERLINK("https://modify.by/catalog/dzhinsy/200736648/?utm_source=price&amp;utm_medium=xlsx","открыть")</f>
        <v>открыть</v>
      </c>
    </row>
    <row r="181">
      <c r="A181" t="inlineStr">
        <is>
          <t xml:space="preserve">Женский</t>
        </is>
      </c>
      <c r="B181" t="inlineStr">
        <is>
          <t xml:space="preserve">Джинсы</t>
        </is>
      </c>
      <c r="C181" t="inlineStr">
        <is>
          <t xml:space="preserve">Джинсы скини (Skinny) на высокой посадке, темно-голубой</t>
        </is>
      </c>
      <c r="D181" t="inlineStr">
        <is>
          <t xml:space="preserve">JE3332W013Темно-голубой</t>
        </is>
      </c>
      <c r="E181" t="inlineStr">
        <is>
          <t xml:space="preserve">темно-голубой</t>
        </is>
      </c>
      <c r="F181" t="inlineStr">
        <is>
          <t xml:space="preserve">42</t>
        </is>
      </c>
      <c r="G181">
        <v>1</v>
      </c>
      <c r="H181" s="2">
        <v>78.0</v>
      </c>
      <c r="I181" t="inlineStr">
        <is>
          <t xml:space="preserve">Хлопок 98% эластан 2%</t>
        </is>
      </c>
      <c r="J181" t="inlineStr">
        <is>
          <t xml:space="preserve">демисезон</t>
        </is>
      </c>
      <c r="K181" t="inlineStr">
        <is>
          <t xml:space="preserve">Турция</t>
        </is>
      </c>
      <c r="L181" t="inlineStr">
        <is>
          <t xml:space="preserve">6204623100</t>
        </is>
      </c>
      <c r="M181" t="inlineStr">
        <is>
          <t xml:space="preserve">Декларация № ЕАЭС № BY/112 11.01 ТР017 122.01 08885, до 21.06.2028</t>
        </is>
      </c>
      <c r="N181" t="inlineStr">
        <is>
          <t xml:space="preserve">35 × 30 × 4</t>
        </is>
      </c>
      <c r="O181" t="inlineStr">
        <is>
          <t xml:space="preserve">0,52</t>
        </is>
      </c>
      <c r="P181" t="inlineStr">
        <is>
          <t xml:space="preserve">2038096170398</t>
        </is>
      </c>
      <c r="Q181" s="3" t="str">
        <f>HYPERLINK("https://modify.by/img/178162660/1.webp","фото")</f>
        <v>фото</v>
      </c>
      <c r="R181" s="3" t="str">
        <f>HYPERLINK("https://modify.by/catalog/dzhinsy/178162660/?utm_source=price&amp;utm_medium=xlsx","открыть")</f>
        <v>открыть</v>
      </c>
    </row>
    <row r="182">
      <c r="A182" t="inlineStr">
        <is>
          <t xml:space="preserve">Женский</t>
        </is>
      </c>
      <c r="B182" t="inlineStr">
        <is>
          <t xml:space="preserve">Джинсы</t>
        </is>
      </c>
      <c r="C182" t="inlineStr">
        <is>
          <t xml:space="preserve">Джинсы скини (Skinny) на высокой посадке, темно-синий</t>
        </is>
      </c>
      <c r="D182" t="inlineStr">
        <is>
          <t xml:space="preserve">JE3332W013Темно-синий</t>
        </is>
      </c>
      <c r="E182" t="inlineStr">
        <is>
          <t xml:space="preserve">темно-синий</t>
        </is>
      </c>
      <c r="F182" t="inlineStr">
        <is>
          <t xml:space="preserve">42</t>
        </is>
      </c>
      <c r="G182">
        <v>1</v>
      </c>
      <c r="H182" s="2">
        <v>78.0</v>
      </c>
      <c r="I182" t="inlineStr">
        <is>
          <t xml:space="preserve">Хлопок 98% эластан 2%</t>
        </is>
      </c>
      <c r="J182" t="inlineStr">
        <is>
          <t xml:space="preserve">демисезон</t>
        </is>
      </c>
      <c r="K182" t="inlineStr">
        <is>
          <t xml:space="preserve">Турция</t>
        </is>
      </c>
      <c r="L182" t="inlineStr">
        <is>
          <t xml:space="preserve">6204623100</t>
        </is>
      </c>
      <c r="M182" t="inlineStr">
        <is>
          <t xml:space="preserve">Декларация № ЕАЭС № BY/112 11.01 ТР017 122.01 08885, до 21.06.2028</t>
        </is>
      </c>
      <c r="N182" t="inlineStr">
        <is>
          <t xml:space="preserve">35 × 30 × 4</t>
        </is>
      </c>
      <c r="O182" t="inlineStr">
        <is>
          <t xml:space="preserve">0,52</t>
        </is>
      </c>
      <c r="P182" t="inlineStr">
        <is>
          <t xml:space="preserve">2038096170442</t>
        </is>
      </c>
      <c r="Q182" s="3" t="str">
        <f>HYPERLINK("https://modify.by/img/178162662/1.webp","фото")</f>
        <v>фото</v>
      </c>
      <c r="R182" s="3" t="str">
        <f>HYPERLINK("https://modify.by/catalog/dzhinsy/178162662/?utm_source=price&amp;utm_medium=xlsx","открыть")</f>
        <v>открыть</v>
      </c>
    </row>
    <row r="183">
      <c r="A183" t="inlineStr">
        <is>
          <t xml:space="preserve">Женский</t>
        </is>
      </c>
      <c r="B183" t="inlineStr">
        <is>
          <t xml:space="preserve">Джинсы</t>
        </is>
      </c>
      <c r="C183" t="inlineStr">
        <is>
          <t xml:space="preserve">Джинсы скинни голубые со средней посадкой</t>
        </is>
      </c>
      <c r="D183" t="inlineStr">
        <is>
          <t xml:space="preserve">JE3332W011Голубой</t>
        </is>
      </c>
      <c r="E183"/>
      <c r="F183" t="inlineStr">
        <is>
          <t xml:space="preserve">52/170</t>
        </is>
      </c>
      <c r="G183">
        <v>1</v>
      </c>
      <c r="H183" s="2">
        <v>78.0</v>
      </c>
      <c r="I183" t="inlineStr">
        <is>
          <t xml:space="preserve">Хлопок 97% Эластан 3%</t>
        </is>
      </c>
      <c r="J183" t="inlineStr">
        <is>
          <t xml:space="preserve">демисезон</t>
        </is>
      </c>
      <c r="K183" t="inlineStr">
        <is>
          <t xml:space="preserve">Турция</t>
        </is>
      </c>
      <c r="L183" t="inlineStr">
        <is>
          <t xml:space="preserve">6204623100</t>
        </is>
      </c>
      <c r="M183" t="inlineStr">
        <is>
          <t xml:space="preserve">Декларация № ЕАЭС № BY/112 11.01 ТР017 122.01 08885, до 21.06.2028</t>
        </is>
      </c>
      <c r="N183" t="inlineStr">
        <is>
          <t xml:space="preserve">32 × 29 × 3</t>
        </is>
      </c>
      <c r="O183" t="inlineStr">
        <is>
          <t xml:space="preserve">0,52</t>
        </is>
      </c>
      <c r="P183" t="inlineStr">
        <is>
          <t xml:space="preserve">2038096169576</t>
        </is>
      </c>
      <c r="Q183" s="3" t="str">
        <f>HYPERLINK("https://modify.by/img/178144426/1.webp","фото")</f>
        <v>фото</v>
      </c>
      <c r="R183" s="3" t="str">
        <f>HYPERLINK("https://modify.by/catalog/dzhinsy/178144426/?utm_source=price&amp;utm_medium=xlsx","открыть")</f>
        <v>открыть</v>
      </c>
    </row>
    <row r="184">
      <c r="A184" t="inlineStr">
        <is>
          <t xml:space="preserve">Женский</t>
        </is>
      </c>
      <c r="B184" t="inlineStr">
        <is>
          <t xml:space="preserve">Джинсы</t>
        </is>
      </c>
      <c r="C184" t="inlineStr">
        <is>
          <t xml:space="preserve">Джинсы скинни на резинке</t>
        </is>
      </c>
      <c r="D184" t="inlineStr">
        <is>
          <t xml:space="preserve">JE32W07синий</t>
        </is>
      </c>
      <c r="E184" t="inlineStr">
        <is>
          <t xml:space="preserve">синий</t>
        </is>
      </c>
      <c r="F184" t="inlineStr">
        <is>
          <t xml:space="preserve">42</t>
        </is>
      </c>
      <c r="G184">
        <v>53</v>
      </c>
      <c r="H184" s="2">
        <v>37.0</v>
      </c>
      <c r="I184" t="inlineStr">
        <is>
          <t xml:space="preserve">98% хлопок, 2% эластан</t>
        </is>
      </c>
      <c r="J184" t="inlineStr">
        <is>
          <t xml:space="preserve">демисезон</t>
        </is>
      </c>
      <c r="K184" t="inlineStr">
        <is>
          <t xml:space="preserve">Бангладеш</t>
        </is>
      </c>
      <c r="L184" t="inlineStr">
        <is>
          <t xml:space="preserve">6204623100</t>
        </is>
      </c>
      <c r="M184" t="inlineStr">
        <is>
          <t xml:space="preserve">Декларация № ЕАЭС № BY/112 11.01. ТР017 122.01 08246, до 19.04.2028</t>
        </is>
      </c>
      <c r="N184" t="inlineStr">
        <is>
          <t xml:space="preserve">38 × 29 × 2</t>
        </is>
      </c>
      <c r="O184" t="inlineStr">
        <is>
          <t xml:space="preserve">0,42</t>
        </is>
      </c>
      <c r="P184" t="inlineStr">
        <is>
          <t xml:space="preserve">2038096188201</t>
        </is>
      </c>
      <c r="Q184" s="3" t="str">
        <f>HYPERLINK("https://modify.by/img/210517443/1.webp","фото")</f>
        <v>фото</v>
      </c>
      <c r="R184" s="3" t="str">
        <f>HYPERLINK("https://modify.by/catalog/dzhinsy/210517443/?utm_source=price&amp;utm_medium=xlsx","открыть")</f>
        <v>открыть</v>
      </c>
    </row>
    <row r="185">
      <c r="A185" t="inlineStr">
        <is>
          <t xml:space="preserve">Женский</t>
        </is>
      </c>
      <c r="B185" t="inlineStr">
        <is>
          <t xml:space="preserve">Джинсы</t>
        </is>
      </c>
      <c r="C185" t="inlineStr">
        <is>
          <t xml:space="preserve">Джинсы скинни на резинке</t>
        </is>
      </c>
      <c r="D185" t="inlineStr">
        <is>
          <t xml:space="preserve">JE32W07синий</t>
        </is>
      </c>
      <c r="E185" t="inlineStr">
        <is>
          <t xml:space="preserve">синий</t>
        </is>
      </c>
      <c r="F185" t="inlineStr">
        <is>
          <t xml:space="preserve">42</t>
        </is>
      </c>
      <c r="G185">
        <v>53</v>
      </c>
      <c r="H185" s="2">
        <v>37.0</v>
      </c>
      <c r="I185" t="inlineStr">
        <is>
          <t xml:space="preserve">98% хлопок, 2% эластан</t>
        </is>
      </c>
      <c r="J185" t="inlineStr">
        <is>
          <t xml:space="preserve">демисезон</t>
        </is>
      </c>
      <c r="K185" t="inlineStr">
        <is>
          <t xml:space="preserve">Бангладеш</t>
        </is>
      </c>
      <c r="L185" t="inlineStr">
        <is>
          <t xml:space="preserve">6204623100</t>
        </is>
      </c>
      <c r="M185" t="inlineStr">
        <is>
          <t xml:space="preserve">Декларация № ЕАЭС № BY/112 11.01. ТР017 122.01 08246, до 19.04.2028</t>
        </is>
      </c>
      <c r="N185" t="inlineStr">
        <is>
          <t xml:space="preserve">38 × 29 × 2</t>
        </is>
      </c>
      <c r="O185" t="inlineStr">
        <is>
          <t xml:space="preserve">0,42</t>
        </is>
      </c>
      <c r="P185" t="inlineStr">
        <is>
          <t xml:space="preserve">4816148109125</t>
        </is>
      </c>
      <c r="Q185" s="3" t="str">
        <f>HYPERLINK("https://modify.by/img/210517443/1.webp","фото")</f>
        <v>фото</v>
      </c>
      <c r="R185" s="3" t="str">
        <f>HYPERLINK("https://modify.by/catalog/dzhinsy/210517443/?utm_source=price&amp;utm_medium=xlsx","открыть")</f>
        <v>открыть</v>
      </c>
    </row>
    <row r="186">
      <c r="A186" t="inlineStr">
        <is>
          <t xml:space="preserve">Женский</t>
        </is>
      </c>
      <c r="B186" t="inlineStr">
        <is>
          <t xml:space="preserve">Джинсы</t>
        </is>
      </c>
      <c r="C186" t="inlineStr">
        <is>
          <t xml:space="preserve">Джинсы скинни на резинке</t>
        </is>
      </c>
      <c r="D186" t="inlineStr">
        <is>
          <t xml:space="preserve">JE32W07синий</t>
        </is>
      </c>
      <c r="E186" t="inlineStr">
        <is>
          <t xml:space="preserve">синий</t>
        </is>
      </c>
      <c r="F186" t="inlineStr">
        <is>
          <t xml:space="preserve">44</t>
        </is>
      </c>
      <c r="G186">
        <v>10</v>
      </c>
      <c r="H186" s="2">
        <v>37.0</v>
      </c>
      <c r="I186" t="inlineStr">
        <is>
          <t xml:space="preserve">98% хлопок, 2% эластан</t>
        </is>
      </c>
      <c r="J186" t="inlineStr">
        <is>
          <t xml:space="preserve">демисезон</t>
        </is>
      </c>
      <c r="K186" t="inlineStr">
        <is>
          <t xml:space="preserve">Бангладеш</t>
        </is>
      </c>
      <c r="L186" t="inlineStr">
        <is>
          <t xml:space="preserve">6204623100</t>
        </is>
      </c>
      <c r="M186" t="inlineStr">
        <is>
          <t xml:space="preserve">Декларация № ЕАЭС № BY/112 11.01. ТР017 122.01 08246, до 19.04.2028</t>
        </is>
      </c>
      <c r="N186" t="inlineStr">
        <is>
          <t xml:space="preserve">38 × 29 × 2</t>
        </is>
      </c>
      <c r="O186" t="inlineStr">
        <is>
          <t xml:space="preserve">0,42</t>
        </is>
      </c>
      <c r="P186" t="inlineStr">
        <is>
          <t xml:space="preserve">2038096188218</t>
        </is>
      </c>
      <c r="Q186" s="3" t="str">
        <f>HYPERLINK("https://modify.by/img/210517443/1.webp","фото")</f>
        <v>фото</v>
      </c>
      <c r="R186" s="3" t="str">
        <f>HYPERLINK("https://modify.by/catalog/dzhinsy/210517443/?utm_source=price&amp;utm_medium=xlsx","открыть")</f>
        <v>открыть</v>
      </c>
    </row>
    <row r="187">
      <c r="A187" t="inlineStr">
        <is>
          <t xml:space="preserve">Женский</t>
        </is>
      </c>
      <c r="B187" t="inlineStr">
        <is>
          <t xml:space="preserve">Джинсы</t>
        </is>
      </c>
      <c r="C187" t="inlineStr">
        <is>
          <t xml:space="preserve">Джинсы скинни на резинке</t>
        </is>
      </c>
      <c r="D187" t="inlineStr">
        <is>
          <t xml:space="preserve">JE32W07синий</t>
        </is>
      </c>
      <c r="E187" t="inlineStr">
        <is>
          <t xml:space="preserve">синий</t>
        </is>
      </c>
      <c r="F187" t="inlineStr">
        <is>
          <t xml:space="preserve">44</t>
        </is>
      </c>
      <c r="G187">
        <v>10</v>
      </c>
      <c r="H187" s="2">
        <v>37.0</v>
      </c>
      <c r="I187" t="inlineStr">
        <is>
          <t xml:space="preserve">98% хлопок, 2% эластан</t>
        </is>
      </c>
      <c r="J187" t="inlineStr">
        <is>
          <t xml:space="preserve">демисезон</t>
        </is>
      </c>
      <c r="K187" t="inlineStr">
        <is>
          <t xml:space="preserve">Бангладеш</t>
        </is>
      </c>
      <c r="L187" t="inlineStr">
        <is>
          <t xml:space="preserve">6204623100</t>
        </is>
      </c>
      <c r="M187" t="inlineStr">
        <is>
          <t xml:space="preserve">Декларация № ЕАЭС № BY/112 11.01. ТР017 122.01 08246, до 19.04.2028</t>
        </is>
      </c>
      <c r="N187" t="inlineStr">
        <is>
          <t xml:space="preserve">38 × 29 × 2</t>
        </is>
      </c>
      <c r="O187" t="inlineStr">
        <is>
          <t xml:space="preserve">0,42</t>
        </is>
      </c>
      <c r="P187" t="inlineStr">
        <is>
          <t xml:space="preserve">4816148109132</t>
        </is>
      </c>
      <c r="Q187" s="3" t="str">
        <f>HYPERLINK("https://modify.by/img/210517443/1.webp","фото")</f>
        <v>фото</v>
      </c>
      <c r="R187" s="3" t="str">
        <f>HYPERLINK("https://modify.by/catalog/dzhinsy/210517443/?utm_source=price&amp;utm_medium=xlsx","открыть")</f>
        <v>открыть</v>
      </c>
    </row>
    <row r="188">
      <c r="A188" t="inlineStr">
        <is>
          <t xml:space="preserve">Женский</t>
        </is>
      </c>
      <c r="B188" t="inlineStr">
        <is>
          <t xml:space="preserve">Джинсы</t>
        </is>
      </c>
      <c r="C188" t="inlineStr">
        <is>
          <t xml:space="preserve">Джинсы скинни укороченные зауженные стрейч, песочный</t>
        </is>
      </c>
      <c r="D188" t="inlineStr">
        <is>
          <t xml:space="preserve">PA32W07песочный</t>
        </is>
      </c>
      <c r="E188" t="inlineStr">
        <is>
          <t xml:space="preserve">песочный, бежевый</t>
        </is>
      </c>
      <c r="F188" t="inlineStr">
        <is>
          <t xml:space="preserve">48</t>
        </is>
      </c>
      <c r="G188">
        <v>1</v>
      </c>
      <c r="H188" s="2">
        <v>38.0</v>
      </c>
      <c r="I188" t="inlineStr">
        <is>
          <t xml:space="preserve">Хлопок 75% Полиэстер 23% Эластан 2%</t>
        </is>
      </c>
      <c r="J188" t="inlineStr">
        <is>
          <t xml:space="preserve">демисезон</t>
        </is>
      </c>
      <c r="K188" t="inlineStr">
        <is>
          <t xml:space="preserve">Бангладеш</t>
        </is>
      </c>
      <c r="L188" t="inlineStr">
        <is>
          <t xml:space="preserve">6204623100</t>
        </is>
      </c>
      <c r="M188" t="inlineStr">
        <is>
          <t xml:space="preserve">Декларация № ЕАЭС № BY/112 11.01. ТР017 122.01 08246, до 19.04.2028</t>
        </is>
      </c>
      <c r="N188" t="inlineStr">
        <is>
          <t xml:space="preserve">35 × 28 × 3</t>
        </is>
      </c>
      <c r="O188" t="inlineStr">
        <is>
          <t xml:space="preserve">0,68</t>
        </is>
      </c>
      <c r="P188" t="inlineStr">
        <is>
          <t xml:space="preserve">2038096188096</t>
        </is>
      </c>
      <c r="Q188" s="3" t="str">
        <f>HYPERLINK("https://modify.by/img/200705900/1.webp","фото")</f>
        <v>фото</v>
      </c>
      <c r="R188" s="3" t="str">
        <f>HYPERLINK("https://modify.by/catalog/dzhinsy/200705900/?utm_source=price&amp;utm_medium=xlsx","открыть")</f>
        <v>открыть</v>
      </c>
    </row>
    <row r="189">
      <c r="A189" t="inlineStr">
        <is>
          <t xml:space="preserve">Женский</t>
        </is>
      </c>
      <c r="B189" t="inlineStr">
        <is>
          <t xml:space="preserve">Джинсы</t>
        </is>
      </c>
      <c r="C189" t="inlineStr">
        <is>
          <t xml:space="preserve">Джинсы скинни укороченные зауженные стрейч, песочный</t>
        </is>
      </c>
      <c r="D189" t="inlineStr">
        <is>
          <t xml:space="preserve">PA32W07песочный</t>
        </is>
      </c>
      <c r="E189" t="inlineStr">
        <is>
          <t xml:space="preserve">песочный, бежевый</t>
        </is>
      </c>
      <c r="F189" t="inlineStr">
        <is>
          <t xml:space="preserve">48</t>
        </is>
      </c>
      <c r="G189">
        <v>1</v>
      </c>
      <c r="H189" s="2">
        <v>38.0</v>
      </c>
      <c r="I189" t="inlineStr">
        <is>
          <t xml:space="preserve">Хлопок 75% Полиэстер 23% Эластан 2%</t>
        </is>
      </c>
      <c r="J189" t="inlineStr">
        <is>
          <t xml:space="preserve">демисезон</t>
        </is>
      </c>
      <c r="K189" t="inlineStr">
        <is>
          <t xml:space="preserve">Бангладеш</t>
        </is>
      </c>
      <c r="L189" t="inlineStr">
        <is>
          <t xml:space="preserve">6204623100</t>
        </is>
      </c>
      <c r="M189" t="inlineStr">
        <is>
          <t xml:space="preserve">Декларация № ЕАЭС № BY/112 11.01. ТР017 122.01 08246, до 19.04.2028</t>
        </is>
      </c>
      <c r="N189" t="inlineStr">
        <is>
          <t xml:space="preserve">35 × 28 × 3</t>
        </is>
      </c>
      <c r="O189" t="inlineStr">
        <is>
          <t xml:space="preserve">0,68</t>
        </is>
      </c>
      <c r="P189" t="inlineStr">
        <is>
          <t xml:space="preserve">4816148132758</t>
        </is>
      </c>
      <c r="Q189" s="3" t="str">
        <f>HYPERLINK("https://modify.by/img/200705900/1.webp","фото")</f>
        <v>фото</v>
      </c>
      <c r="R189" s="3" t="str">
        <f>HYPERLINK("https://modify.by/catalog/dzhinsy/200705900/?utm_source=price&amp;utm_medium=xlsx","открыть")</f>
        <v>открыть</v>
      </c>
    </row>
    <row r="190">
      <c r="A190" t="inlineStr">
        <is>
          <t xml:space="preserve">Женский</t>
        </is>
      </c>
      <c r="B190" t="inlineStr">
        <is>
          <t xml:space="preserve">Джинсы</t>
        </is>
      </c>
      <c r="C190" t="inlineStr">
        <is>
          <t xml:space="preserve">Джинсы скинни укороченные зауженные стрейч, розовый</t>
        </is>
      </c>
      <c r="D190" t="inlineStr">
        <is>
          <t xml:space="preserve">PA32W07розовый</t>
        </is>
      </c>
      <c r="E190" t="inlineStr">
        <is>
          <t xml:space="preserve">розовый</t>
        </is>
      </c>
      <c r="F190" t="inlineStr">
        <is>
          <t xml:space="preserve">54</t>
        </is>
      </c>
      <c r="G190">
        <v>26</v>
      </c>
      <c r="H190" s="2">
        <v>38.0</v>
      </c>
      <c r="I190" t="inlineStr">
        <is>
          <t xml:space="preserve">Хлопок 75% Полиэстер 23% Эластан 2%</t>
        </is>
      </c>
      <c r="J190" t="inlineStr">
        <is>
          <t xml:space="preserve">демисезон</t>
        </is>
      </c>
      <c r="K190" t="inlineStr">
        <is>
          <t xml:space="preserve">Бангладеш</t>
        </is>
      </c>
      <c r="L190" t="inlineStr">
        <is>
          <t xml:space="preserve">6204623100</t>
        </is>
      </c>
      <c r="M190" t="inlineStr">
        <is>
          <t xml:space="preserve">Декларация № ЕАЭС № BY/112 11.01. ТР017 122.01 08246, до 19.04.2028</t>
        </is>
      </c>
      <c r="N190" t="inlineStr">
        <is>
          <t xml:space="preserve">35 × 28 × 3</t>
        </is>
      </c>
      <c r="O190" t="inlineStr">
        <is>
          <t xml:space="preserve">0,68</t>
        </is>
      </c>
      <c r="P190" t="inlineStr">
        <is>
          <t xml:space="preserve">2038096188089</t>
        </is>
      </c>
      <c r="Q190" s="3" t="str">
        <f>HYPERLINK("https://modify.by/img/200705901/1.webp","фото")</f>
        <v>фото</v>
      </c>
      <c r="R190" s="3" t="str">
        <f>HYPERLINK("https://modify.by/catalog/dzhinsy/200705901/?utm_source=price&amp;utm_medium=xlsx","открыть")</f>
        <v>открыть</v>
      </c>
    </row>
    <row r="191">
      <c r="A191" t="inlineStr">
        <is>
          <t xml:space="preserve">Женский</t>
        </is>
      </c>
      <c r="B191" t="inlineStr">
        <is>
          <t xml:space="preserve">Джинсы</t>
        </is>
      </c>
      <c r="C191" t="inlineStr">
        <is>
          <t xml:space="preserve">Джинсы скинни укороченные зауженные стрейч, розовый</t>
        </is>
      </c>
      <c r="D191" t="inlineStr">
        <is>
          <t xml:space="preserve">PA32W07розовый</t>
        </is>
      </c>
      <c r="E191" t="inlineStr">
        <is>
          <t xml:space="preserve">розовый</t>
        </is>
      </c>
      <c r="F191" t="inlineStr">
        <is>
          <t xml:space="preserve">54</t>
        </is>
      </c>
      <c r="G191">
        <v>26</v>
      </c>
      <c r="H191" s="2">
        <v>38.0</v>
      </c>
      <c r="I191" t="inlineStr">
        <is>
          <t xml:space="preserve">Хлопок 75% Полиэстер 23% Эластан 2%</t>
        </is>
      </c>
      <c r="J191" t="inlineStr">
        <is>
          <t xml:space="preserve">демисезон</t>
        </is>
      </c>
      <c r="K191" t="inlineStr">
        <is>
          <t xml:space="preserve">Бангладеш</t>
        </is>
      </c>
      <c r="L191" t="inlineStr">
        <is>
          <t xml:space="preserve">6204623100</t>
        </is>
      </c>
      <c r="M191" t="inlineStr">
        <is>
          <t xml:space="preserve">Декларация № ЕАЭС № BY/112 11.01. ТР017 122.01 08246, до 19.04.2028</t>
        </is>
      </c>
      <c r="N191" t="inlineStr">
        <is>
          <t xml:space="preserve">35 × 28 × 3</t>
        </is>
      </c>
      <c r="O191" t="inlineStr">
        <is>
          <t xml:space="preserve">0,68</t>
        </is>
      </c>
      <c r="P191" t="inlineStr">
        <is>
          <t xml:space="preserve">4816148116055</t>
        </is>
      </c>
      <c r="Q191" s="3" t="str">
        <f>HYPERLINK("https://modify.by/img/200705901/1.webp","фото")</f>
        <v>фото</v>
      </c>
      <c r="R191" s="3" t="str">
        <f>HYPERLINK("https://modify.by/catalog/dzhinsy/200705901/?utm_source=price&amp;utm_medium=xlsx","открыть")</f>
        <v>открыть</v>
      </c>
    </row>
    <row r="192">
      <c r="A192" t="inlineStr">
        <is>
          <t xml:space="preserve">Женский</t>
        </is>
      </c>
      <c r="B192" t="inlineStr">
        <is>
          <t xml:space="preserve">Джинсы</t>
        </is>
      </c>
      <c r="C192" t="inlineStr">
        <is>
          <t xml:space="preserve">Джинсы трубы с высокой посадкой голубые</t>
        </is>
      </c>
      <c r="D192" t="inlineStr">
        <is>
          <t xml:space="preserve">JE3332W02Бледно-голубой</t>
        </is>
      </c>
      <c r="E192" t="inlineStr">
        <is>
          <t xml:space="preserve">бледно-голубой</t>
        </is>
      </c>
      <c r="F192" t="inlineStr">
        <is>
          <t xml:space="preserve">48/182</t>
        </is>
      </c>
      <c r="G192">
        <v>1</v>
      </c>
      <c r="H192" s="2">
        <v>86.0</v>
      </c>
      <c r="I192" t="inlineStr">
        <is>
          <t xml:space="preserve">100% хлопок</t>
        </is>
      </c>
      <c r="J192" t="inlineStr">
        <is>
          <t xml:space="preserve">Круглогодичный</t>
        </is>
      </c>
      <c r="K192" t="inlineStr">
        <is>
          <t xml:space="preserve">Турция</t>
        </is>
      </c>
      <c r="L192" t="inlineStr">
        <is>
          <t xml:space="preserve">6204623100</t>
        </is>
      </c>
      <c r="M192" t="inlineStr">
        <is>
          <t xml:space="preserve">Декларация № ЕАЭС № BY/112 11.01 ТР017 122.01 08885, до 21.06.2028</t>
        </is>
      </c>
      <c r="N192" t="inlineStr">
        <is>
          <t xml:space="preserve">35 × 30 × 4</t>
        </is>
      </c>
      <c r="O192" t="inlineStr">
        <is>
          <t xml:space="preserve">0,62</t>
        </is>
      </c>
      <c r="P192" t="inlineStr">
        <is>
          <t xml:space="preserve">2038096168920</t>
        </is>
      </c>
      <c r="Q192" s="3" t="str">
        <f>HYPERLINK("https://modify.by/img/177627311/1.webp","фото")</f>
        <v>фото</v>
      </c>
      <c r="R192" s="3" t="str">
        <f>HYPERLINK("https://modify.by/catalog/dzhinsy/177627311/?utm_source=price&amp;utm_medium=xlsx","открыть")</f>
        <v>открыть</v>
      </c>
    </row>
    <row r="193">
      <c r="A193" t="inlineStr">
        <is>
          <t xml:space="preserve">Женский</t>
        </is>
      </c>
      <c r="B193" t="inlineStr">
        <is>
          <t xml:space="preserve">Джинсы</t>
        </is>
      </c>
      <c r="C193" t="inlineStr">
        <is>
          <t xml:space="preserve">Джинсы трубы с высокой посадкой голубые</t>
        </is>
      </c>
      <c r="D193" t="inlineStr">
        <is>
          <t xml:space="preserve">JE3332W02Бледно-голубой</t>
        </is>
      </c>
      <c r="E193" t="inlineStr">
        <is>
          <t xml:space="preserve">бледно-голубой</t>
        </is>
      </c>
      <c r="F193" t="inlineStr">
        <is>
          <t xml:space="preserve">52/176</t>
        </is>
      </c>
      <c r="G193">
        <v>1</v>
      </c>
      <c r="H193" s="2">
        <v>86.0</v>
      </c>
      <c r="I193" t="inlineStr">
        <is>
          <t xml:space="preserve">100% хлопок</t>
        </is>
      </c>
      <c r="J193" t="inlineStr">
        <is>
          <t xml:space="preserve">Круглогодичный</t>
        </is>
      </c>
      <c r="K193" t="inlineStr">
        <is>
          <t xml:space="preserve">Турция</t>
        </is>
      </c>
      <c r="L193" t="inlineStr">
        <is>
          <t xml:space="preserve">6204623100</t>
        </is>
      </c>
      <c r="M193" t="inlineStr">
        <is>
          <t xml:space="preserve">Декларация № ЕАЭС № BY/112 11.01 ТР017 122.01 08885, до 21.06.2028</t>
        </is>
      </c>
      <c r="N193" t="inlineStr">
        <is>
          <t xml:space="preserve">35 × 30 × 4</t>
        </is>
      </c>
      <c r="O193" t="inlineStr">
        <is>
          <t xml:space="preserve">0,62</t>
        </is>
      </c>
      <c r="P193" t="inlineStr">
        <is>
          <t xml:space="preserve">2038096168876</t>
        </is>
      </c>
      <c r="Q193" s="3" t="str">
        <f>HYPERLINK("https://modify.by/img/177627311/1.webp","фото")</f>
        <v>фото</v>
      </c>
      <c r="R193" s="3" t="str">
        <f>HYPERLINK("https://modify.by/catalog/dzhinsy/177627311/?utm_source=price&amp;utm_medium=xlsx","открыть")</f>
        <v>открыть</v>
      </c>
    </row>
    <row r="194">
      <c r="A194" t="inlineStr">
        <is>
          <t xml:space="preserve">Женский</t>
        </is>
      </c>
      <c r="B194" t="inlineStr">
        <is>
          <t xml:space="preserve">Джинсы</t>
        </is>
      </c>
      <c r="C194" t="inlineStr">
        <is>
          <t xml:space="preserve">Джинсы укороченные</t>
        </is>
      </c>
      <c r="D194" t="inlineStr">
        <is>
          <t xml:space="preserve">JE32W08серый</t>
        </is>
      </c>
      <c r="E194" t="inlineStr">
        <is>
          <t xml:space="preserve">серый</t>
        </is>
      </c>
      <c r="F194" t="inlineStr">
        <is>
          <t xml:space="preserve">44</t>
        </is>
      </c>
      <c r="G194">
        <v>20</v>
      </c>
      <c r="H194" s="2">
        <v>38.0</v>
      </c>
      <c r="I194" t="inlineStr">
        <is>
          <t xml:space="preserve">100% хлопок</t>
        </is>
      </c>
      <c r="J194" t="inlineStr">
        <is>
          <t xml:space="preserve">демисезон</t>
        </is>
      </c>
      <c r="K194" t="inlineStr">
        <is>
          <t xml:space="preserve">Бангладеш</t>
        </is>
      </c>
      <c r="L194" t="inlineStr">
        <is>
          <t xml:space="preserve">6204623100</t>
        </is>
      </c>
      <c r="M194" t="inlineStr">
        <is>
          <t xml:space="preserve">Декларация № ЕАЭС № BY/112 11.01. ТР017 122.01 08246, до 19.04.2028</t>
        </is>
      </c>
      <c r="N194" t="inlineStr">
        <is>
          <t xml:space="preserve">38 × 29 × 2</t>
        </is>
      </c>
      <c r="O194" t="inlineStr">
        <is>
          <t xml:space="preserve">0,4</t>
        </is>
      </c>
      <c r="P194" t="inlineStr">
        <is>
          <t xml:space="preserve">2038096186849</t>
        </is>
      </c>
      <c r="Q194" s="3" t="str">
        <f>HYPERLINK("https://modify.by/img/200769428/1.webp","фото")</f>
        <v>фото</v>
      </c>
      <c r="R194" s="3" t="str">
        <f>HYPERLINK("https://modify.by/catalog/dzhinsy/200769428/?utm_source=price&amp;utm_medium=xlsx","открыть")</f>
        <v>открыть</v>
      </c>
    </row>
    <row r="195">
      <c r="A195" t="inlineStr">
        <is>
          <t xml:space="preserve">Женский</t>
        </is>
      </c>
      <c r="B195" t="inlineStr">
        <is>
          <t xml:space="preserve">Джинсы</t>
        </is>
      </c>
      <c r="C195" t="inlineStr">
        <is>
          <t xml:space="preserve">Джинсы укороченные</t>
        </is>
      </c>
      <c r="D195" t="inlineStr">
        <is>
          <t xml:space="preserve">JE32W08серый</t>
        </is>
      </c>
      <c r="E195" t="inlineStr">
        <is>
          <t xml:space="preserve">серый</t>
        </is>
      </c>
      <c r="F195" t="inlineStr">
        <is>
          <t xml:space="preserve">44</t>
        </is>
      </c>
      <c r="G195">
        <v>20</v>
      </c>
      <c r="H195" s="2">
        <v>38.0</v>
      </c>
      <c r="I195" t="inlineStr">
        <is>
          <t xml:space="preserve">100% хлопок</t>
        </is>
      </c>
      <c r="J195" t="inlineStr">
        <is>
          <t xml:space="preserve">демисезон</t>
        </is>
      </c>
      <c r="K195" t="inlineStr">
        <is>
          <t xml:space="preserve">Бангладеш</t>
        </is>
      </c>
      <c r="L195" t="inlineStr">
        <is>
          <t xml:space="preserve">6204623100</t>
        </is>
      </c>
      <c r="M195" t="inlineStr">
        <is>
          <t xml:space="preserve">Декларация № ЕАЭС № BY/112 11.01. ТР017 122.01 08246, до 19.04.2028</t>
        </is>
      </c>
      <c r="N195" t="inlineStr">
        <is>
          <t xml:space="preserve">38 × 29 × 2</t>
        </is>
      </c>
      <c r="O195" t="inlineStr">
        <is>
          <t xml:space="preserve">0,4</t>
        </is>
      </c>
      <c r="P195" t="inlineStr">
        <is>
          <t xml:space="preserve">4816148109163</t>
        </is>
      </c>
      <c r="Q195" s="3" t="str">
        <f>HYPERLINK("https://modify.by/img/200769428/1.webp","фото")</f>
        <v>фото</v>
      </c>
      <c r="R195" s="3" t="str">
        <f>HYPERLINK("https://modify.by/catalog/dzhinsy/200769428/?utm_source=price&amp;utm_medium=xlsx","открыть")</f>
        <v>открыть</v>
      </c>
    </row>
    <row r="196">
      <c r="A196" t="inlineStr">
        <is>
          <t xml:space="preserve">Женский</t>
        </is>
      </c>
      <c r="B196" t="inlineStr">
        <is>
          <t xml:space="preserve">Джинсы</t>
        </is>
      </c>
      <c r="C196" t="inlineStr">
        <is>
          <t xml:space="preserve">Джинсы укороченные</t>
        </is>
      </c>
      <c r="D196" t="inlineStr">
        <is>
          <t xml:space="preserve">JE32W08серый</t>
        </is>
      </c>
      <c r="E196" t="inlineStr">
        <is>
          <t xml:space="preserve">серый</t>
        </is>
      </c>
      <c r="F196" t="inlineStr">
        <is>
          <t xml:space="preserve">46</t>
        </is>
      </c>
      <c r="G196">
        <v>1</v>
      </c>
      <c r="H196" s="2">
        <v>38.0</v>
      </c>
      <c r="I196" t="inlineStr">
        <is>
          <t xml:space="preserve">100% хлопок</t>
        </is>
      </c>
      <c r="J196" t="inlineStr">
        <is>
          <t xml:space="preserve">демисезон</t>
        </is>
      </c>
      <c r="K196" t="inlineStr">
        <is>
          <t xml:space="preserve">Бангладеш</t>
        </is>
      </c>
      <c r="L196" t="inlineStr">
        <is>
          <t xml:space="preserve">6204623100</t>
        </is>
      </c>
      <c r="M196" t="inlineStr">
        <is>
          <t xml:space="preserve">Декларация № ЕАЭС № BY/112 11.01. ТР017 122.01 08246, до 19.04.2028</t>
        </is>
      </c>
      <c r="N196" t="inlineStr">
        <is>
          <t xml:space="preserve">38 × 29 × 2</t>
        </is>
      </c>
      <c r="O196" t="inlineStr">
        <is>
          <t xml:space="preserve">0,4</t>
        </is>
      </c>
      <c r="P196" t="inlineStr">
        <is>
          <t xml:space="preserve">2038096186856</t>
        </is>
      </c>
      <c r="Q196" s="3" t="str">
        <f>HYPERLINK("https://modify.by/img/200769428/1.webp","фото")</f>
        <v>фото</v>
      </c>
      <c r="R196" s="3" t="str">
        <f>HYPERLINK("https://modify.by/catalog/dzhinsy/200769428/?utm_source=price&amp;utm_medium=xlsx","открыть")</f>
        <v>открыть</v>
      </c>
    </row>
    <row r="197">
      <c r="A197" t="inlineStr">
        <is>
          <t xml:space="preserve">Женский</t>
        </is>
      </c>
      <c r="B197" t="inlineStr">
        <is>
          <t xml:space="preserve">Джинсы</t>
        </is>
      </c>
      <c r="C197" t="inlineStr">
        <is>
          <t xml:space="preserve">Джинсы укороченные</t>
        </is>
      </c>
      <c r="D197" t="inlineStr">
        <is>
          <t xml:space="preserve">JE32W08серый</t>
        </is>
      </c>
      <c r="E197" t="inlineStr">
        <is>
          <t xml:space="preserve">серый</t>
        </is>
      </c>
      <c r="F197" t="inlineStr">
        <is>
          <t xml:space="preserve">48</t>
        </is>
      </c>
      <c r="G197">
        <v>1</v>
      </c>
      <c r="H197" s="2">
        <v>38.0</v>
      </c>
      <c r="I197" t="inlineStr">
        <is>
          <t xml:space="preserve">100% хлопок</t>
        </is>
      </c>
      <c r="J197" t="inlineStr">
        <is>
          <t xml:space="preserve">демисезон</t>
        </is>
      </c>
      <c r="K197" t="inlineStr">
        <is>
          <t xml:space="preserve">Бангладеш</t>
        </is>
      </c>
      <c r="L197" t="inlineStr">
        <is>
          <t xml:space="preserve">6204623100</t>
        </is>
      </c>
      <c r="M197" t="inlineStr">
        <is>
          <t xml:space="preserve">Декларация № ЕАЭС № BY/112 11.01. ТР017 122.01 08246, до 19.04.2028</t>
        </is>
      </c>
      <c r="N197" t="inlineStr">
        <is>
          <t xml:space="preserve">38 × 29 × 2</t>
        </is>
      </c>
      <c r="O197" t="inlineStr">
        <is>
          <t xml:space="preserve">0,4</t>
        </is>
      </c>
      <c r="P197" t="inlineStr">
        <is>
          <t xml:space="preserve">2038096186863</t>
        </is>
      </c>
      <c r="Q197" s="3" t="str">
        <f>HYPERLINK("https://modify.by/img/200769428/1.webp","фото")</f>
        <v>фото</v>
      </c>
      <c r="R197" s="3" t="str">
        <f>HYPERLINK("https://modify.by/catalog/dzhinsy/200769428/?utm_source=price&amp;utm_medium=xlsx","открыть")</f>
        <v>открыть</v>
      </c>
    </row>
    <row r="198">
      <c r="A198" t="inlineStr">
        <is>
          <t xml:space="preserve">Женский</t>
        </is>
      </c>
      <c r="B198" t="inlineStr">
        <is>
          <t xml:space="preserve">Джинсы</t>
        </is>
      </c>
      <c r="C198" t="inlineStr">
        <is>
          <t xml:space="preserve">джинсы карго с высокой посадкой</t>
        </is>
      </c>
      <c r="D198" t="inlineStr">
        <is>
          <t xml:space="preserve">JE3332W031Хаки</t>
        </is>
      </c>
      <c r="E198" t="inlineStr">
        <is>
          <t xml:space="preserve">хаки</t>
        </is>
      </c>
      <c r="F198" t="inlineStr">
        <is>
          <t xml:space="preserve">48</t>
        </is>
      </c>
      <c r="G198">
        <v>1</v>
      </c>
      <c r="H198" s="2">
        <v>101.0</v>
      </c>
      <c r="I198" t="inlineStr">
        <is>
          <t xml:space="preserve">хлопок 100%</t>
        </is>
      </c>
      <c r="J198" t="inlineStr">
        <is>
          <t xml:space="preserve">Демисезон</t>
        </is>
      </c>
      <c r="K198" t="inlineStr">
        <is>
          <t xml:space="preserve">Турция</t>
        </is>
      </c>
      <c r="L198" t="inlineStr">
        <is>
          <t xml:space="preserve">6204623100</t>
        </is>
      </c>
      <c r="M198" t="inlineStr">
        <is>
          <t xml:space="preserve">Декларация № ЕАЭС № BY/112 11.01 ТР017 122.01 08885, до 21.06.2028</t>
        </is>
      </c>
      <c r="N198" t="inlineStr">
        <is>
          <t xml:space="preserve">35 × 28 × 3</t>
        </is>
      </c>
      <c r="O198" t="inlineStr">
        <is>
          <t xml:space="preserve">0,59</t>
        </is>
      </c>
      <c r="P198" t="inlineStr">
        <is>
          <t xml:space="preserve">2038096168739</t>
        </is>
      </c>
      <c r="Q198" s="3" t="str">
        <f>HYPERLINK("https://modify.by/img/177619225/1.webp","фото")</f>
        <v>фото</v>
      </c>
      <c r="R198" s="3" t="str">
        <f>HYPERLINK("https://modify.by/catalog/dzhinsy/177619225/?utm_source=price&amp;utm_medium=xlsx","открыть")</f>
        <v>открыть</v>
      </c>
    </row>
    <row r="199">
      <c r="A199" t="inlineStr">
        <is>
          <t xml:space="preserve">Женский</t>
        </is>
      </c>
      <c r="B199" t="inlineStr">
        <is>
          <t xml:space="preserve">Джинсы</t>
        </is>
      </c>
      <c r="C199" t="inlineStr">
        <is>
          <t xml:space="preserve">джинсы мом mom варенки светлые рваные</t>
        </is>
      </c>
      <c r="D199" t="inlineStr">
        <is>
          <t xml:space="preserve">JE32W01Светло-голубой</t>
        </is>
      </c>
      <c r="E199" t="inlineStr">
        <is>
          <t xml:space="preserve">светло-голубой</t>
        </is>
      </c>
      <c r="F199" t="inlineStr">
        <is>
          <t xml:space="preserve">44-46</t>
        </is>
      </c>
      <c r="G199">
        <v>1</v>
      </c>
      <c r="H199" s="2">
        <v>44.0</v>
      </c>
      <c r="I199" t="inlineStr">
        <is>
          <t xml:space="preserve">98% хлопок 2% эластан</t>
        </is>
      </c>
      <c r="J199" t="inlineStr">
        <is>
          <t xml:space="preserve">демисезон</t>
        </is>
      </c>
      <c r="K199" t="inlineStr">
        <is>
          <t xml:space="preserve">Бангладеш</t>
        </is>
      </c>
      <c r="L199" t="inlineStr">
        <is>
          <t xml:space="preserve">6204623100</t>
        </is>
      </c>
      <c r="M199" t="inlineStr">
        <is>
          <t xml:space="preserve">по запросу</t>
        </is>
      </c>
      <c r="N199" t="inlineStr">
        <is>
          <t xml:space="preserve">35 × 28 × 3</t>
        </is>
      </c>
      <c r="O199" t="inlineStr">
        <is>
          <t xml:space="preserve">0,65</t>
        </is>
      </c>
      <c r="P199" t="inlineStr">
        <is>
          <t xml:space="preserve">2026620776710</t>
        </is>
      </c>
      <c r="Q199" s="3" t="str">
        <f>HYPERLINK("https://modify.by/img/149376344/1.webp","фото")</f>
        <v>фото</v>
      </c>
      <c r="R199" s="3" t="str">
        <f>HYPERLINK("https://modify.by/catalog/dzhinsy/149376344/?utm_source=price&amp;utm_medium=xlsx","открыть")</f>
        <v>открыть</v>
      </c>
    </row>
    <row r="200">
      <c r="A200" t="inlineStr">
        <is>
          <t xml:space="preserve">Женский</t>
        </is>
      </c>
      <c r="B200" t="inlineStr">
        <is>
          <t xml:space="preserve">Джинсы</t>
        </is>
      </c>
      <c r="C200" t="inlineStr">
        <is>
          <t xml:space="preserve">джинсы мом mom варенки светлые рваные</t>
        </is>
      </c>
      <c r="D200" t="inlineStr">
        <is>
          <t xml:space="preserve">JE32W01Светло-голубой</t>
        </is>
      </c>
      <c r="E200" t="inlineStr">
        <is>
          <t xml:space="preserve">светло-голубой</t>
        </is>
      </c>
      <c r="F200" t="inlineStr">
        <is>
          <t xml:space="preserve">52-54</t>
        </is>
      </c>
      <c r="G200">
        <v>1</v>
      </c>
      <c r="H200" s="2">
        <v>44.0</v>
      </c>
      <c r="I200" t="inlineStr">
        <is>
          <t xml:space="preserve">98% хлопок 2% эластан</t>
        </is>
      </c>
      <c r="J200" t="inlineStr">
        <is>
          <t xml:space="preserve">демисезон</t>
        </is>
      </c>
      <c r="K200" t="inlineStr">
        <is>
          <t xml:space="preserve">Бангладеш</t>
        </is>
      </c>
      <c r="L200" t="inlineStr">
        <is>
          <t xml:space="preserve">6204623100</t>
        </is>
      </c>
      <c r="M200" t="inlineStr">
        <is>
          <t xml:space="preserve">по запросу</t>
        </is>
      </c>
      <c r="N200" t="inlineStr">
        <is>
          <t xml:space="preserve">35 × 28 × 3</t>
        </is>
      </c>
      <c r="O200" t="inlineStr">
        <is>
          <t xml:space="preserve">0,65</t>
        </is>
      </c>
      <c r="P200" t="inlineStr">
        <is>
          <t xml:space="preserve">2026620776673</t>
        </is>
      </c>
      <c r="Q200" s="3" t="str">
        <f>HYPERLINK("https://modify.by/img/149376344/1.webp","фото")</f>
        <v>фото</v>
      </c>
      <c r="R200" s="3" t="str">
        <f>HYPERLINK("https://modify.by/catalog/dzhinsy/149376344/?utm_source=price&amp;utm_medium=xlsx","открыть")</f>
        <v>открыть</v>
      </c>
    </row>
    <row r="201">
      <c r="A201" t="inlineStr">
        <is>
          <t xml:space="preserve">Женский</t>
        </is>
      </c>
      <c r="B201" t="inlineStr">
        <is>
          <t xml:space="preserve">Джинсы</t>
        </is>
      </c>
      <c r="C201" t="inlineStr">
        <is>
          <t xml:space="preserve">джинсы мом mom варенки серые Турция</t>
        </is>
      </c>
      <c r="D201" t="inlineStr">
        <is>
          <t xml:space="preserve">JE3332M01Графит</t>
        </is>
      </c>
      <c r="E201" t="inlineStr">
        <is>
          <t xml:space="preserve">графит</t>
        </is>
      </c>
      <c r="F201" t="inlineStr">
        <is>
          <t xml:space="preserve">46</t>
        </is>
      </c>
      <c r="G201">
        <v>1</v>
      </c>
      <c r="H201" s="2">
        <v>64.0</v>
      </c>
      <c r="I201" t="inlineStr">
        <is>
          <t xml:space="preserve">хлопок 100%</t>
        </is>
      </c>
      <c r="J201" t="inlineStr">
        <is>
          <t xml:space="preserve">Круглогодичный</t>
        </is>
      </c>
      <c r="K201" t="inlineStr">
        <is>
          <t xml:space="preserve">Турция</t>
        </is>
      </c>
      <c r="L201" t="inlineStr">
        <is>
          <t xml:space="preserve">6204623100</t>
        </is>
      </c>
      <c r="M201" t="inlineStr">
        <is>
          <t xml:space="preserve">по запросу</t>
        </is>
      </c>
      <c r="N201" t="inlineStr">
        <is>
          <t xml:space="preserve">35 × 28 × 3</t>
        </is>
      </c>
      <c r="O201" t="inlineStr">
        <is>
          <t xml:space="preserve">0,58</t>
        </is>
      </c>
      <c r="P201" t="inlineStr">
        <is>
          <t xml:space="preserve">2026620755043</t>
        </is>
      </c>
      <c r="Q201" s="3" t="str">
        <f>HYPERLINK("https://modify.by/img/167700034/1.webp","фото")</f>
        <v>фото</v>
      </c>
      <c r="R201" s="3" t="str">
        <f>HYPERLINK("https://modify.by/catalog/dzhinsy/167700034/?utm_source=price&amp;utm_medium=xlsx","открыть")</f>
        <v>открыть</v>
      </c>
    </row>
    <row r="202">
      <c r="A202" t="inlineStr">
        <is>
          <t xml:space="preserve">Женский</t>
        </is>
      </c>
      <c r="B202" t="inlineStr">
        <is>
          <t xml:space="preserve">Джинсы</t>
        </is>
      </c>
      <c r="C202" t="inlineStr">
        <is>
          <t xml:space="preserve">джинсы прямые классические синие</t>
        </is>
      </c>
      <c r="D202" t="inlineStr">
        <is>
          <t xml:space="preserve">JE3332W042Светло-синий</t>
        </is>
      </c>
      <c r="E202" t="inlineStr">
        <is>
          <t xml:space="preserve">светло-синий</t>
        </is>
      </c>
      <c r="F202" t="inlineStr">
        <is>
          <t xml:space="preserve">40</t>
        </is>
      </c>
      <c r="G202">
        <v>3</v>
      </c>
      <c r="H202" s="2">
        <v>72.0</v>
      </c>
      <c r="I202" t="inlineStr">
        <is>
          <t xml:space="preserve">Хлопок 97% Эластан 3%</t>
        </is>
      </c>
      <c r="J202" t="inlineStr">
        <is>
          <t xml:space="preserve">демисезон, круглогодичный, зима</t>
        </is>
      </c>
      <c r="K202" t="inlineStr">
        <is>
          <t xml:space="preserve">Турция</t>
        </is>
      </c>
      <c r="L202" t="inlineStr">
        <is>
          <t xml:space="preserve">6204623100</t>
        </is>
      </c>
      <c r="M202" t="inlineStr">
        <is>
          <t xml:space="preserve">Декларация № ЕАЭС № BY/112 11.01 ТР017 122.01 08885, до 21.06.2028</t>
        </is>
      </c>
      <c r="N202"/>
      <c r="O202"/>
      <c r="P202" t="inlineStr">
        <is>
          <t xml:space="preserve">2038096170152</t>
        </is>
      </c>
      <c r="Q202" s="3" t="str">
        <f>HYPERLINK("https://modify.by/img/178156932/1.webp","фото")</f>
        <v>фото</v>
      </c>
      <c r="R202" s="3" t="str">
        <f>HYPERLINK("https://modify.by/catalog/dzhinsy/178156932/?utm_source=price&amp;utm_medium=xlsx","открыть")</f>
        <v>открыть</v>
      </c>
    </row>
    <row r="203">
      <c r="A203" t="inlineStr">
        <is>
          <t xml:space="preserve">Женский</t>
        </is>
      </c>
      <c r="B203" t="inlineStr">
        <is>
          <t xml:space="preserve">Джинсы</t>
        </is>
      </c>
      <c r="C203" t="inlineStr">
        <is>
          <t xml:space="preserve">джинсы прямые классические синие</t>
        </is>
      </c>
      <c r="D203" t="inlineStr">
        <is>
          <t xml:space="preserve">JE3332W042Светло-синий</t>
        </is>
      </c>
      <c r="E203" t="inlineStr">
        <is>
          <t xml:space="preserve">светло-синий</t>
        </is>
      </c>
      <c r="F203" t="inlineStr">
        <is>
          <t xml:space="preserve">42</t>
        </is>
      </c>
      <c r="G203">
        <v>2</v>
      </c>
      <c r="H203" s="2">
        <v>72.0</v>
      </c>
      <c r="I203" t="inlineStr">
        <is>
          <t xml:space="preserve">Хлопок 97% Эластан 3%</t>
        </is>
      </c>
      <c r="J203" t="inlineStr">
        <is>
          <t xml:space="preserve">демисезон, круглогодичный, зима</t>
        </is>
      </c>
      <c r="K203" t="inlineStr">
        <is>
          <t xml:space="preserve">Турция</t>
        </is>
      </c>
      <c r="L203" t="inlineStr">
        <is>
          <t xml:space="preserve">6204623100</t>
        </is>
      </c>
      <c r="M203" t="inlineStr">
        <is>
          <t xml:space="preserve">Декларация № ЕАЭС № BY/112 11.01 ТР017 122.01 08885, до 21.06.2028</t>
        </is>
      </c>
      <c r="N203"/>
      <c r="O203"/>
      <c r="P203" t="inlineStr">
        <is>
          <t xml:space="preserve">2038096170169</t>
        </is>
      </c>
      <c r="Q203" s="3" t="str">
        <f>HYPERLINK("https://modify.by/img/178156932/1.webp","фото")</f>
        <v>фото</v>
      </c>
      <c r="R203" s="3" t="str">
        <f>HYPERLINK("https://modify.by/catalog/dzhinsy/178156932/?utm_source=price&amp;utm_medium=xlsx","открыть")</f>
        <v>открыть</v>
      </c>
    </row>
    <row r="204">
      <c r="A204" t="inlineStr">
        <is>
          <t xml:space="preserve">Женский</t>
        </is>
      </c>
      <c r="B204" t="inlineStr">
        <is>
          <t xml:space="preserve">Джинсы</t>
        </is>
      </c>
      <c r="C204" t="inlineStr">
        <is>
          <t xml:space="preserve">джинсы прямые классические синие</t>
        </is>
      </c>
      <c r="D204" t="inlineStr">
        <is>
          <t xml:space="preserve">JE3332W042Светло-синий</t>
        </is>
      </c>
      <c r="E204" t="inlineStr">
        <is>
          <t xml:space="preserve">светло-синий</t>
        </is>
      </c>
      <c r="F204" t="inlineStr">
        <is>
          <t xml:space="preserve">44</t>
        </is>
      </c>
      <c r="G204">
        <v>4</v>
      </c>
      <c r="H204" s="2">
        <v>72.0</v>
      </c>
      <c r="I204" t="inlineStr">
        <is>
          <t xml:space="preserve">Хлопок 97% Эластан 3%</t>
        </is>
      </c>
      <c r="J204" t="inlineStr">
        <is>
          <t xml:space="preserve">демисезон, круглогодичный, зима</t>
        </is>
      </c>
      <c r="K204" t="inlineStr">
        <is>
          <t xml:space="preserve">Турция</t>
        </is>
      </c>
      <c r="L204" t="inlineStr">
        <is>
          <t xml:space="preserve">6204623100</t>
        </is>
      </c>
      <c r="M204" t="inlineStr">
        <is>
          <t xml:space="preserve">Декларация № ЕАЭС № BY/112 11.01 ТР017 122.01 08885, до 21.06.2028</t>
        </is>
      </c>
      <c r="N204"/>
      <c r="O204"/>
      <c r="P204" t="inlineStr">
        <is>
          <t xml:space="preserve">2038096170176</t>
        </is>
      </c>
      <c r="Q204" s="3" t="str">
        <f>HYPERLINK("https://modify.by/img/178156932/1.webp","фото")</f>
        <v>фото</v>
      </c>
      <c r="R204" s="3" t="str">
        <f>HYPERLINK("https://modify.by/catalog/dzhinsy/178156932/?utm_source=price&amp;utm_medium=xlsx","открыть")</f>
        <v>открыть</v>
      </c>
    </row>
    <row r="205">
      <c r="A205" t="inlineStr">
        <is>
          <t xml:space="preserve">Женский</t>
        </is>
      </c>
      <c r="B205" t="inlineStr">
        <is>
          <t xml:space="preserve">Джинсы</t>
        </is>
      </c>
      <c r="C205" t="inlineStr">
        <is>
          <t xml:space="preserve">джинсы прямые классические синие</t>
        </is>
      </c>
      <c r="D205" t="inlineStr">
        <is>
          <t xml:space="preserve">JE3332W042Светло-синий</t>
        </is>
      </c>
      <c r="E205" t="inlineStr">
        <is>
          <t xml:space="preserve">светло-синий</t>
        </is>
      </c>
      <c r="F205" t="inlineStr">
        <is>
          <t xml:space="preserve">46</t>
        </is>
      </c>
      <c r="G205">
        <v>1</v>
      </c>
      <c r="H205" s="2">
        <v>72.0</v>
      </c>
      <c r="I205" t="inlineStr">
        <is>
          <t xml:space="preserve">Хлопок 97% Эластан 3%</t>
        </is>
      </c>
      <c r="J205" t="inlineStr">
        <is>
          <t xml:space="preserve">демисезон, круглогодичный, зима</t>
        </is>
      </c>
      <c r="K205" t="inlineStr">
        <is>
          <t xml:space="preserve">Турция</t>
        </is>
      </c>
      <c r="L205" t="inlineStr">
        <is>
          <t xml:space="preserve">6204623100</t>
        </is>
      </c>
      <c r="M205" t="inlineStr">
        <is>
          <t xml:space="preserve">Декларация № ЕАЭС № BY/112 11.01 ТР017 122.01 08885, до 21.06.2028</t>
        </is>
      </c>
      <c r="N205"/>
      <c r="O205"/>
      <c r="P205" t="inlineStr">
        <is>
          <t xml:space="preserve">2038096170183</t>
        </is>
      </c>
      <c r="Q205" s="3" t="str">
        <f>HYPERLINK("https://modify.by/img/178156932/1.webp","фото")</f>
        <v>фото</v>
      </c>
      <c r="R205" s="3" t="str">
        <f>HYPERLINK("https://modify.by/catalog/dzhinsy/178156932/?utm_source=price&amp;utm_medium=xlsx","открыть")</f>
        <v>открыть</v>
      </c>
    </row>
    <row r="206">
      <c r="A206" t="inlineStr">
        <is>
          <t xml:space="preserve">Женский</t>
        </is>
      </c>
      <c r="B206" t="inlineStr">
        <is>
          <t xml:space="preserve">Джинсы</t>
        </is>
      </c>
      <c r="C206" t="inlineStr">
        <is>
          <t xml:space="preserve">джинсы прямые классические синие</t>
        </is>
      </c>
      <c r="D206" t="inlineStr">
        <is>
          <t xml:space="preserve">JE3332W042Светло-синий</t>
        </is>
      </c>
      <c r="E206" t="inlineStr">
        <is>
          <t xml:space="preserve">светло-синий</t>
        </is>
      </c>
      <c r="F206" t="inlineStr">
        <is>
          <t xml:space="preserve">50</t>
        </is>
      </c>
      <c r="G206">
        <v>1</v>
      </c>
      <c r="H206" s="2">
        <v>72.0</v>
      </c>
      <c r="I206" t="inlineStr">
        <is>
          <t xml:space="preserve">Хлопок 97% Эластан 3%</t>
        </is>
      </c>
      <c r="J206" t="inlineStr">
        <is>
          <t xml:space="preserve">демисезон, круглогодичный, зима</t>
        </is>
      </c>
      <c r="K206" t="inlineStr">
        <is>
          <t xml:space="preserve">Турция</t>
        </is>
      </c>
      <c r="L206" t="inlineStr">
        <is>
          <t xml:space="preserve">6204623100</t>
        </is>
      </c>
      <c r="M206" t="inlineStr">
        <is>
          <t xml:space="preserve">Декларация № ЕАЭС № BY/112 11.01 ТР017 122.01 08885, до 21.06.2028</t>
        </is>
      </c>
      <c r="N206"/>
      <c r="O206"/>
      <c r="P206" t="inlineStr">
        <is>
          <t xml:space="preserve">2038096170206</t>
        </is>
      </c>
      <c r="Q206" s="3" t="str">
        <f>HYPERLINK("https://modify.by/img/178156932/1.webp","фото")</f>
        <v>фото</v>
      </c>
      <c r="R206" s="3" t="str">
        <f>HYPERLINK("https://modify.by/catalog/dzhinsy/178156932/?utm_source=price&amp;utm_medium=xlsx","открыть")</f>
        <v>открыть</v>
      </c>
    </row>
    <row r="207">
      <c r="A207" t="inlineStr">
        <is>
          <t xml:space="preserve">Женский</t>
        </is>
      </c>
      <c r="B207" t="inlineStr">
        <is>
          <t xml:space="preserve">Джинсы</t>
        </is>
      </c>
      <c r="C207" t="inlineStr">
        <is>
          <t xml:space="preserve">джинсы трубы с высокой посадкой бежевые</t>
        </is>
      </c>
      <c r="D207" t="inlineStr">
        <is>
          <t xml:space="preserve">PA3332W02Бежевый</t>
        </is>
      </c>
      <c r="E207" t="inlineStr">
        <is>
          <t xml:space="preserve">бежевый</t>
        </is>
      </c>
      <c r="F207" t="inlineStr">
        <is>
          <t xml:space="preserve">44-46/170</t>
        </is>
      </c>
      <c r="G207">
        <v>1</v>
      </c>
      <c r="H207" s="2">
        <v>77.0</v>
      </c>
      <c r="I207" t="inlineStr">
        <is>
          <t xml:space="preserve">Хлопок 98% эластан 2%</t>
        </is>
      </c>
      <c r="J207" t="inlineStr">
        <is>
          <t xml:space="preserve">демисезон, круглогодичный</t>
        </is>
      </c>
      <c r="K207" t="inlineStr">
        <is>
          <t xml:space="preserve">Турция</t>
        </is>
      </c>
      <c r="L207" t="inlineStr">
        <is>
          <t xml:space="preserve">6204623100</t>
        </is>
      </c>
      <c r="M207" t="inlineStr">
        <is>
          <t xml:space="preserve">Декларация № ЕАЭС № BY/112 11.01 ТР017 122.01 08885, до 21.06.2028</t>
        </is>
      </c>
      <c r="N207"/>
      <c r="O207"/>
      <c r="P207" t="inlineStr">
        <is>
          <t xml:space="preserve">2038096169316</t>
        </is>
      </c>
      <c r="Q207" s="3" t="str">
        <f>HYPERLINK("https://modify.by/img/177633997/1.webp","фото")</f>
        <v>фото</v>
      </c>
      <c r="R207" s="3" t="str">
        <f>HYPERLINK("https://modify.by/catalog/dzhinsy/177633997/?utm_source=price&amp;utm_medium=xlsx","открыть")</f>
        <v>открыть</v>
      </c>
    </row>
    <row r="208">
      <c r="A208" t="inlineStr">
        <is>
          <t xml:space="preserve">Женский</t>
        </is>
      </c>
      <c r="B208" t="inlineStr">
        <is>
          <t xml:space="preserve">Джинсы</t>
        </is>
      </c>
      <c r="C208" t="inlineStr">
        <is>
          <t xml:space="preserve">джинсы трубы с высокой посадкой бежевые</t>
        </is>
      </c>
      <c r="D208" t="inlineStr">
        <is>
          <t xml:space="preserve">PA3332W02Бежевый</t>
        </is>
      </c>
      <c r="E208" t="inlineStr">
        <is>
          <t xml:space="preserve">бежевый</t>
        </is>
      </c>
      <c r="F208" t="inlineStr">
        <is>
          <t xml:space="preserve">46-48/170</t>
        </is>
      </c>
      <c r="G208">
        <v>1</v>
      </c>
      <c r="H208" s="2">
        <v>77.0</v>
      </c>
      <c r="I208" t="inlineStr">
        <is>
          <t xml:space="preserve">Хлопок 98% эластан 2%</t>
        </is>
      </c>
      <c r="J208" t="inlineStr">
        <is>
          <t xml:space="preserve">демисезон, круглогодичный</t>
        </is>
      </c>
      <c r="K208" t="inlineStr">
        <is>
          <t xml:space="preserve">Турция</t>
        </is>
      </c>
      <c r="L208" t="inlineStr">
        <is>
          <t xml:space="preserve">6204623100</t>
        </is>
      </c>
      <c r="M208" t="inlineStr">
        <is>
          <t xml:space="preserve">Декларация № ЕАЭС № BY/112 11.01 ТР017 122.01 08885, до 21.06.2028</t>
        </is>
      </c>
      <c r="N208"/>
      <c r="O208"/>
      <c r="P208" t="inlineStr">
        <is>
          <t xml:space="preserve">2038096169330</t>
        </is>
      </c>
      <c r="Q208" s="3" t="str">
        <f>HYPERLINK("https://modify.by/img/177633997/1.webp","фото")</f>
        <v>фото</v>
      </c>
      <c r="R208" s="3" t="str">
        <f>HYPERLINK("https://modify.by/catalog/dzhinsy/177633997/?utm_source=price&amp;utm_medium=xlsx","открыть")</f>
        <v>открыть</v>
      </c>
    </row>
    <row r="209">
      <c r="A209" t="inlineStr">
        <is>
          <t xml:space="preserve">Женский</t>
        </is>
      </c>
      <c r="B209" t="inlineStr">
        <is>
          <t xml:space="preserve">Жакеты</t>
        </is>
      </c>
      <c r="C209" t="inlineStr">
        <is>
          <t xml:space="preserve">Жакет стеганый на молнии, белый</t>
        </is>
      </c>
      <c r="D209" t="inlineStr">
        <is>
          <t xml:space="preserve">CA62W01белый</t>
        </is>
      </c>
      <c r="E209" t="inlineStr">
        <is>
          <t xml:space="preserve">белый</t>
        </is>
      </c>
      <c r="F209" t="inlineStr">
        <is>
          <t xml:space="preserve">46</t>
        </is>
      </c>
      <c r="G209">
        <v>4</v>
      </c>
      <c r="H209" s="2">
        <v>47.0</v>
      </c>
      <c r="I209" t="inlineStr">
        <is>
          <t xml:space="preserve">25% хлопок, 70% Пээ, 5% эластан</t>
        </is>
      </c>
      <c r="J209" t="inlineStr">
        <is>
          <t xml:space="preserve">демисезон</t>
        </is>
      </c>
      <c r="K209" t="inlineStr">
        <is>
          <t xml:space="preserve">Бангладеш</t>
        </is>
      </c>
      <c r="L209" t="inlineStr">
        <is>
          <t xml:space="preserve">6110309900</t>
        </is>
      </c>
      <c r="M209" t="inlineStr">
        <is>
          <t xml:space="preserve">Декларация № ЕАЭС № BY/112 11.01. ТР017 122.01 08246, до 19.04.2028</t>
        </is>
      </c>
      <c r="N209" t="inlineStr">
        <is>
          <t xml:space="preserve">35 × 30 × 5</t>
        </is>
      </c>
      <c r="O209" t="inlineStr">
        <is>
          <t xml:space="preserve">0,64</t>
        </is>
      </c>
      <c r="P209" t="inlineStr">
        <is>
          <t xml:space="preserve">4816148173669</t>
        </is>
      </c>
      <c r="Q209"/>
      <c r="R209" s="3" t="str">
        <f>HYPERLINK("https://modify.by/catalog/zhakety/695326468/?utm_source=price&amp;utm_medium=xlsx","открыть")</f>
        <v>открыть</v>
      </c>
    </row>
    <row r="210">
      <c r="A210" t="inlineStr">
        <is>
          <t xml:space="preserve">Женский</t>
        </is>
      </c>
      <c r="B210" t="inlineStr">
        <is>
          <t xml:space="preserve">Жакеты</t>
        </is>
      </c>
      <c r="C210" t="inlineStr">
        <is>
          <t xml:space="preserve">Жакет стеганый на молнии, белый</t>
        </is>
      </c>
      <c r="D210" t="inlineStr">
        <is>
          <t xml:space="preserve">CA62W01белый</t>
        </is>
      </c>
      <c r="E210" t="inlineStr">
        <is>
          <t xml:space="preserve">белый</t>
        </is>
      </c>
      <c r="F210" t="inlineStr">
        <is>
          <t xml:space="preserve">48</t>
        </is>
      </c>
      <c r="G210">
        <v>3</v>
      </c>
      <c r="H210" s="2">
        <v>47.0</v>
      </c>
      <c r="I210" t="inlineStr">
        <is>
          <t xml:space="preserve">25% хлопок, 70% Пээ, 5% эластан</t>
        </is>
      </c>
      <c r="J210" t="inlineStr">
        <is>
          <t xml:space="preserve">демисезон</t>
        </is>
      </c>
      <c r="K210" t="inlineStr">
        <is>
          <t xml:space="preserve">Бангладеш</t>
        </is>
      </c>
      <c r="L210" t="inlineStr">
        <is>
          <t xml:space="preserve">6110309900</t>
        </is>
      </c>
      <c r="M210" t="inlineStr">
        <is>
          <t xml:space="preserve">Декларация № ЕАЭС № BY/112 11.01. ТР017 122.01 08246, до 19.04.2028</t>
        </is>
      </c>
      <c r="N210" t="inlineStr">
        <is>
          <t xml:space="preserve">35 × 30 × 5</t>
        </is>
      </c>
      <c r="O210" t="inlineStr">
        <is>
          <t xml:space="preserve">0,64</t>
        </is>
      </c>
      <c r="P210" t="inlineStr">
        <is>
          <t xml:space="preserve">4816148173676</t>
        </is>
      </c>
      <c r="Q210"/>
      <c r="R210" s="3" t="str">
        <f>HYPERLINK("https://modify.by/catalog/zhakety/695326468/?utm_source=price&amp;utm_medium=xlsx","открыть")</f>
        <v>открыть</v>
      </c>
    </row>
    <row r="211">
      <c r="A211" t="inlineStr">
        <is>
          <t xml:space="preserve">Женский</t>
        </is>
      </c>
      <c r="B211" t="inlineStr">
        <is>
          <t xml:space="preserve">Жакеты</t>
        </is>
      </c>
      <c r="C211" t="inlineStr">
        <is>
          <t xml:space="preserve">Жакет стеганый на молнии, белый</t>
        </is>
      </c>
      <c r="D211" t="inlineStr">
        <is>
          <t xml:space="preserve">CA62W01белый</t>
        </is>
      </c>
      <c r="E211" t="inlineStr">
        <is>
          <t xml:space="preserve">белый</t>
        </is>
      </c>
      <c r="F211" t="inlineStr">
        <is>
          <t xml:space="preserve">50</t>
        </is>
      </c>
      <c r="G211">
        <v>6</v>
      </c>
      <c r="H211" s="2">
        <v>47.0</v>
      </c>
      <c r="I211" t="inlineStr">
        <is>
          <t xml:space="preserve">25% хлопок, 70% Пээ, 5% эластан</t>
        </is>
      </c>
      <c r="J211" t="inlineStr">
        <is>
          <t xml:space="preserve">демисезон</t>
        </is>
      </c>
      <c r="K211" t="inlineStr">
        <is>
          <t xml:space="preserve">Бангладеш</t>
        </is>
      </c>
      <c r="L211" t="inlineStr">
        <is>
          <t xml:space="preserve">6110309900</t>
        </is>
      </c>
      <c r="M211" t="inlineStr">
        <is>
          <t xml:space="preserve">Декларация № ЕАЭС № BY/112 11.01. ТР017 122.01 08246, до 19.04.2028</t>
        </is>
      </c>
      <c r="N211" t="inlineStr">
        <is>
          <t xml:space="preserve">35 × 30 × 5</t>
        </is>
      </c>
      <c r="O211" t="inlineStr">
        <is>
          <t xml:space="preserve">0,64</t>
        </is>
      </c>
      <c r="P211" t="inlineStr">
        <is>
          <t xml:space="preserve">4816148173683</t>
        </is>
      </c>
      <c r="Q211"/>
      <c r="R211" s="3" t="str">
        <f>HYPERLINK("https://modify.by/catalog/zhakety/695326468/?utm_source=price&amp;utm_medium=xlsx","открыть")</f>
        <v>открыть</v>
      </c>
    </row>
    <row r="212">
      <c r="A212" t="inlineStr">
        <is>
          <t xml:space="preserve">Женский</t>
        </is>
      </c>
      <c r="B212" t="inlineStr">
        <is>
          <t xml:space="preserve">Жакеты</t>
        </is>
      </c>
      <c r="C212" t="inlineStr">
        <is>
          <t xml:space="preserve">Жакет стеганый на молнии, белый</t>
        </is>
      </c>
      <c r="D212" t="inlineStr">
        <is>
          <t xml:space="preserve">CA62W01белый</t>
        </is>
      </c>
      <c r="E212" t="inlineStr">
        <is>
          <t xml:space="preserve">белый</t>
        </is>
      </c>
      <c r="F212" t="inlineStr">
        <is>
          <t xml:space="preserve">52</t>
        </is>
      </c>
      <c r="G212">
        <v>3</v>
      </c>
      <c r="H212" s="2">
        <v>47.0</v>
      </c>
      <c r="I212" t="inlineStr">
        <is>
          <t xml:space="preserve">25% хлопок, 70% Пээ, 5% эластан</t>
        </is>
      </c>
      <c r="J212" t="inlineStr">
        <is>
          <t xml:space="preserve">демисезон</t>
        </is>
      </c>
      <c r="K212" t="inlineStr">
        <is>
          <t xml:space="preserve">Бангладеш</t>
        </is>
      </c>
      <c r="L212" t="inlineStr">
        <is>
          <t xml:space="preserve">6110309900</t>
        </is>
      </c>
      <c r="M212" t="inlineStr">
        <is>
          <t xml:space="preserve">Декларация № ЕАЭС № BY/112 11.01. ТР017 122.01 08246, до 19.04.2028</t>
        </is>
      </c>
      <c r="N212" t="inlineStr">
        <is>
          <t xml:space="preserve">35 × 30 × 5</t>
        </is>
      </c>
      <c r="O212" t="inlineStr">
        <is>
          <t xml:space="preserve">0,64</t>
        </is>
      </c>
      <c r="P212" t="inlineStr">
        <is>
          <t xml:space="preserve">4816148173690</t>
        </is>
      </c>
      <c r="Q212"/>
      <c r="R212" s="3" t="str">
        <f>HYPERLINK("https://modify.by/catalog/zhakety/695326468/?utm_source=price&amp;utm_medium=xlsx","открыть")</f>
        <v>открыть</v>
      </c>
    </row>
    <row r="213">
      <c r="A213" t="inlineStr">
        <is>
          <t xml:space="preserve">Женский</t>
        </is>
      </c>
      <c r="B213" t="inlineStr">
        <is>
          <t xml:space="preserve">Жакеты</t>
        </is>
      </c>
      <c r="C213" t="inlineStr">
        <is>
          <t xml:space="preserve">Жакет стеганый на молнии, серо-голубой</t>
        </is>
      </c>
      <c r="D213" t="inlineStr">
        <is>
          <t xml:space="preserve">CA62W01голубой</t>
        </is>
      </c>
      <c r="E213" t="inlineStr">
        <is>
          <t xml:space="preserve">серо-голубой</t>
        </is>
      </c>
      <c r="F213" t="inlineStr">
        <is>
          <t xml:space="preserve">56</t>
        </is>
      </c>
      <c r="G213">
        <v>11</v>
      </c>
      <c r="H213" s="2">
        <v>47.0</v>
      </c>
      <c r="I213" t="inlineStr">
        <is>
          <t xml:space="preserve">25% хлопок, 70% Пээ, 5% эластан</t>
        </is>
      </c>
      <c r="J213" t="inlineStr">
        <is>
          <t xml:space="preserve">демисезон</t>
        </is>
      </c>
      <c r="K213" t="inlineStr">
        <is>
          <t xml:space="preserve">Бангладеш</t>
        </is>
      </c>
      <c r="L213" t="inlineStr">
        <is>
          <t xml:space="preserve">6110309900</t>
        </is>
      </c>
      <c r="M213" t="inlineStr">
        <is>
          <t xml:space="preserve">Декларация № ЕАЭС № BY/112 11.01. ТР017 122.01 08246, до 19.04.2028</t>
        </is>
      </c>
      <c r="N213" t="inlineStr">
        <is>
          <t xml:space="preserve">35 × 30 × 5</t>
        </is>
      </c>
      <c r="O213" t="inlineStr">
        <is>
          <t xml:space="preserve">0,64</t>
        </is>
      </c>
      <c r="P213" t="inlineStr">
        <is>
          <t xml:space="preserve">4816148173645</t>
        </is>
      </c>
      <c r="Q213" s="3" t="str">
        <f>HYPERLINK("https://modify.by/img/695326469/1.webp","фото")</f>
        <v>фото</v>
      </c>
      <c r="R213" s="3" t="str">
        <f>HYPERLINK("https://modify.by/catalog/zhakety/695326469/?utm_source=price&amp;utm_medium=xlsx","открыть")</f>
        <v>открыть</v>
      </c>
    </row>
    <row r="214">
      <c r="A214" t="inlineStr">
        <is>
          <t xml:space="preserve">Женский</t>
        </is>
      </c>
      <c r="B214" t="inlineStr">
        <is>
          <t xml:space="preserve">Жакеты</t>
        </is>
      </c>
      <c r="C214" t="inlineStr">
        <is>
          <t xml:space="preserve">Жакет стеганый на молнии, серо-голубой</t>
        </is>
      </c>
      <c r="D214" t="inlineStr">
        <is>
          <t xml:space="preserve">CA62W01голубой</t>
        </is>
      </c>
      <c r="E214" t="inlineStr">
        <is>
          <t xml:space="preserve">серо-голубой</t>
        </is>
      </c>
      <c r="F214" t="inlineStr">
        <is>
          <t xml:space="preserve">58</t>
        </is>
      </c>
      <c r="G214">
        <v>14</v>
      </c>
      <c r="H214" s="2">
        <v>47.0</v>
      </c>
      <c r="I214" t="inlineStr">
        <is>
          <t xml:space="preserve">25% хлопок, 70% Пээ, 5% эластан</t>
        </is>
      </c>
      <c r="J214" t="inlineStr">
        <is>
          <t xml:space="preserve">демисезон</t>
        </is>
      </c>
      <c r="K214" t="inlineStr">
        <is>
          <t xml:space="preserve">Бангладеш</t>
        </is>
      </c>
      <c r="L214" t="inlineStr">
        <is>
          <t xml:space="preserve">6110309900</t>
        </is>
      </c>
      <c r="M214" t="inlineStr">
        <is>
          <t xml:space="preserve">Декларация № ЕАЭС № BY/112 11.01. ТР017 122.01 08246, до 19.04.2028</t>
        </is>
      </c>
      <c r="N214" t="inlineStr">
        <is>
          <t xml:space="preserve">35 × 30 × 5</t>
        </is>
      </c>
      <c r="O214" t="inlineStr">
        <is>
          <t xml:space="preserve">0,64</t>
        </is>
      </c>
      <c r="P214" t="inlineStr">
        <is>
          <t xml:space="preserve">4816148173652</t>
        </is>
      </c>
      <c r="Q214" s="3" t="str">
        <f>HYPERLINK("https://modify.by/img/695326469/1.webp","фото")</f>
        <v>фото</v>
      </c>
      <c r="R214" s="3" t="str">
        <f>HYPERLINK("https://modify.by/catalog/zhakety/695326469/?utm_source=price&amp;utm_medium=xlsx","открыть")</f>
        <v>открыть</v>
      </c>
    </row>
    <row r="215">
      <c r="A215" t="inlineStr">
        <is>
          <t xml:space="preserve">Женский</t>
        </is>
      </c>
      <c r="B215" t="inlineStr">
        <is>
          <t xml:space="preserve">Жилеты</t>
        </is>
      </c>
      <c r="C215" t="inlineStr">
        <is>
          <t xml:space="preserve">Жилет утепленный на молнии с капюшоном</t>
        </is>
      </c>
      <c r="D215" t="inlineStr">
        <is>
          <t xml:space="preserve">T3PJ52W04бежевый</t>
        </is>
      </c>
      <c r="E215" t="inlineStr">
        <is>
          <t xml:space="preserve">светло-бежевый, серый</t>
        </is>
      </c>
      <c r="F215" t="inlineStr">
        <is>
          <t xml:space="preserve">44</t>
        </is>
      </c>
      <c r="G215">
        <v>1</v>
      </c>
      <c r="H215" s="2">
        <v>69.0</v>
      </c>
      <c r="I215" t="inlineStr">
        <is>
          <t xml:space="preserve">пэ, хлопок</t>
        </is>
      </c>
      <c r="J215"/>
      <c r="K215" t="inlineStr">
        <is>
          <t xml:space="preserve">Китай</t>
        </is>
      </c>
      <c r="L215" t="inlineStr">
        <is>
          <t xml:space="preserve">6202400009</t>
        </is>
      </c>
      <c r="M215" t="inlineStr">
        <is>
          <t xml:space="preserve">Декларация № ЕАЭС N RU Д-CN.РА02.В.44060/24, до 28.02.2029</t>
        </is>
      </c>
      <c r="N215" t="inlineStr">
        <is>
          <t xml:space="preserve">43 × 33 × 4</t>
        </is>
      </c>
      <c r="O215" t="inlineStr">
        <is>
          <t xml:space="preserve">0,56</t>
        </is>
      </c>
      <c r="P215" t="inlineStr">
        <is>
          <t xml:space="preserve">4816148163240</t>
        </is>
      </c>
      <c r="Q215" s="3" t="str">
        <f>HYPERLINK("https://modify.by/img/531259188/1.webp","фото")</f>
        <v>фото</v>
      </c>
      <c r="R215" s="3" t="str">
        <f>HYPERLINK("https://modify.by/catalog/zhilety/531259188/?utm_source=price&amp;utm_medium=xlsx","открыть")</f>
        <v>открыть</v>
      </c>
    </row>
    <row r="216">
      <c r="A216" t="inlineStr">
        <is>
          <t xml:space="preserve">Женский</t>
        </is>
      </c>
      <c r="B216" t="inlineStr">
        <is>
          <t xml:space="preserve">Жилеты</t>
        </is>
      </c>
      <c r="C216" t="inlineStr">
        <is>
          <t xml:space="preserve">Жилет утепленный на молнии с капюшоном</t>
        </is>
      </c>
      <c r="D216" t="inlineStr">
        <is>
          <t xml:space="preserve">T3PJ52W04бежевый</t>
        </is>
      </c>
      <c r="E216" t="inlineStr">
        <is>
          <t xml:space="preserve">светло-бежевый, серый</t>
        </is>
      </c>
      <c r="F216" t="inlineStr">
        <is>
          <t xml:space="preserve">46</t>
        </is>
      </c>
      <c r="G216">
        <v>1</v>
      </c>
      <c r="H216" s="2">
        <v>69.0</v>
      </c>
      <c r="I216" t="inlineStr">
        <is>
          <t xml:space="preserve">пэ, хлопок</t>
        </is>
      </c>
      <c r="J216"/>
      <c r="K216" t="inlineStr">
        <is>
          <t xml:space="preserve">Китай</t>
        </is>
      </c>
      <c r="L216" t="inlineStr">
        <is>
          <t xml:space="preserve">6202400009</t>
        </is>
      </c>
      <c r="M216" t="inlineStr">
        <is>
          <t xml:space="preserve">Декларация № ЕАЭС N RU Д-CN.РА02.В.44060/24, до 28.02.2029</t>
        </is>
      </c>
      <c r="N216" t="inlineStr">
        <is>
          <t xml:space="preserve">43 × 33 × 4</t>
        </is>
      </c>
      <c r="O216" t="inlineStr">
        <is>
          <t xml:space="preserve">0,56</t>
        </is>
      </c>
      <c r="P216" t="inlineStr">
        <is>
          <t xml:space="preserve">4816148163257</t>
        </is>
      </c>
      <c r="Q216" s="3" t="str">
        <f>HYPERLINK("https://modify.by/img/531259188/1.webp","фото")</f>
        <v>фото</v>
      </c>
      <c r="R216" s="3" t="str">
        <f>HYPERLINK("https://modify.by/catalog/zhilety/531259188/?utm_source=price&amp;utm_medium=xlsx","открыть")</f>
        <v>открыть</v>
      </c>
    </row>
    <row r="217">
      <c r="A217" t="inlineStr">
        <is>
          <t xml:space="preserve">Женский</t>
        </is>
      </c>
      <c r="B217" t="inlineStr">
        <is>
          <t xml:space="preserve">Капри</t>
        </is>
      </c>
      <c r="C217" t="inlineStr">
        <is>
          <t xml:space="preserve">Брюки капри на резинке летние</t>
        </is>
      </c>
      <c r="D217" t="inlineStr">
        <is>
          <t xml:space="preserve">CP42W01голубой</t>
        </is>
      </c>
      <c r="E217" t="inlineStr">
        <is>
          <t xml:space="preserve">голубой</t>
        </is>
      </c>
      <c r="F217" t="inlineStr">
        <is>
          <t xml:space="preserve">52 /164</t>
        </is>
      </c>
      <c r="G217">
        <v>1</v>
      </c>
      <c r="H217" s="2">
        <v>32.0</v>
      </c>
      <c r="I217" t="inlineStr">
        <is>
          <t xml:space="preserve">Хлопок 97% Эластан 3%</t>
        </is>
      </c>
      <c r="J217"/>
      <c r="K217" t="inlineStr">
        <is>
          <t xml:space="preserve">Бангладеш</t>
        </is>
      </c>
      <c r="L217" t="inlineStr">
        <is>
          <t xml:space="preserve">6104690001</t>
        </is>
      </c>
      <c r="M217" t="inlineStr">
        <is>
          <t xml:space="preserve">Декларация № ЕАЭС № BY/112 11.01. ТР017 122.01 08246, до 19.04.2028</t>
        </is>
      </c>
      <c r="N217" t="inlineStr">
        <is>
          <t xml:space="preserve">30 × 35 × 3</t>
        </is>
      </c>
      <c r="O217" t="inlineStr">
        <is>
          <t xml:space="preserve">0,43</t>
        </is>
      </c>
      <c r="P217" t="inlineStr">
        <is>
          <t xml:space="preserve">4816148102249</t>
        </is>
      </c>
      <c r="Q217" s="3" t="str">
        <f>HYPERLINK("https://modify.by/img/234701227/1.webp","фото")</f>
        <v>фото</v>
      </c>
      <c r="R217" s="3" t="str">
        <f>HYPERLINK("https://modify.by/catalog/kapri/234701227/?utm_source=price&amp;utm_medium=xlsx","открыть")</f>
        <v>открыть</v>
      </c>
    </row>
    <row r="218">
      <c r="A218" t="inlineStr">
        <is>
          <t xml:space="preserve">Женский</t>
        </is>
      </c>
      <c r="B218" t="inlineStr">
        <is>
          <t xml:space="preserve">Капри</t>
        </is>
      </c>
      <c r="C218" t="inlineStr">
        <is>
          <t xml:space="preserve">Брюки капри хлопковые на резинке большие размеры, песочный</t>
        </is>
      </c>
      <c r="D218" t="inlineStr">
        <is>
          <t xml:space="preserve">CP42W01песочный</t>
        </is>
      </c>
      <c r="E218" t="inlineStr">
        <is>
          <t xml:space="preserve">песочный</t>
        </is>
      </c>
      <c r="F218" t="inlineStr">
        <is>
          <t xml:space="preserve">44/164</t>
        </is>
      </c>
      <c r="G218">
        <v>17</v>
      </c>
      <c r="H218" s="2">
        <v>32.0</v>
      </c>
      <c r="I218" t="inlineStr">
        <is>
          <t xml:space="preserve">Хлопок 97% Эластан 3%</t>
        </is>
      </c>
      <c r="J218"/>
      <c r="K218" t="inlineStr">
        <is>
          <t xml:space="preserve">Бангладеш</t>
        </is>
      </c>
      <c r="L218" t="inlineStr">
        <is>
          <t xml:space="preserve">6104630000</t>
        </is>
      </c>
      <c r="M218" t="inlineStr">
        <is>
          <t xml:space="preserve">Декларация № ЕАЭС № BY/112 11.01. ТР017 122.01 08246, до 19.04.2028</t>
        </is>
      </c>
      <c r="N218" t="inlineStr">
        <is>
          <t xml:space="preserve">32 × 31 × 4</t>
        </is>
      </c>
      <c r="O218" t="inlineStr">
        <is>
          <t xml:space="preserve">0,31</t>
        </is>
      </c>
      <c r="P218" t="inlineStr">
        <is>
          <t xml:space="preserve">4816148106063</t>
        </is>
      </c>
      <c r="Q218" s="3" t="str">
        <f>HYPERLINK("https://modify.by/img/239183218/1.webp","фото")</f>
        <v>фото</v>
      </c>
      <c r="R218" s="3" t="str">
        <f>HYPERLINK("https://modify.by/catalog/kapri/239183218/?utm_source=price&amp;utm_medium=xlsx","открыть")</f>
        <v>открыть</v>
      </c>
    </row>
    <row r="219">
      <c r="A219" t="inlineStr">
        <is>
          <t xml:space="preserve">Женский</t>
        </is>
      </c>
      <c r="B219" t="inlineStr">
        <is>
          <t xml:space="preserve">Капри</t>
        </is>
      </c>
      <c r="C219" t="inlineStr">
        <is>
          <t xml:space="preserve">Брюки капри хлопковые на резинке большие размеры, песочный</t>
        </is>
      </c>
      <c r="D219" t="inlineStr">
        <is>
          <t xml:space="preserve">CP42W01песочный</t>
        </is>
      </c>
      <c r="E219" t="inlineStr">
        <is>
          <t xml:space="preserve">песочный</t>
        </is>
      </c>
      <c r="F219" t="inlineStr">
        <is>
          <t xml:space="preserve">66/164</t>
        </is>
      </c>
      <c r="G219">
        <v>1</v>
      </c>
      <c r="H219" s="2">
        <v>32.0</v>
      </c>
      <c r="I219" t="inlineStr">
        <is>
          <t xml:space="preserve">Хлопок 97% Эластан 3%</t>
        </is>
      </c>
      <c r="J219"/>
      <c r="K219" t="inlineStr">
        <is>
          <t xml:space="preserve">Бангладеш</t>
        </is>
      </c>
      <c r="L219" t="inlineStr">
        <is>
          <t xml:space="preserve">6104630000</t>
        </is>
      </c>
      <c r="M219" t="inlineStr">
        <is>
          <t xml:space="preserve">Декларация № ЕАЭС № BY/112 11.01. ТР017 122.01 08246, до 19.04.2028</t>
        </is>
      </c>
      <c r="N219" t="inlineStr">
        <is>
          <t xml:space="preserve">32 × 31 × 4</t>
        </is>
      </c>
      <c r="O219" t="inlineStr">
        <is>
          <t xml:space="preserve">0,31</t>
        </is>
      </c>
      <c r="P219" t="inlineStr">
        <is>
          <t xml:space="preserve">4816148106162</t>
        </is>
      </c>
      <c r="Q219" s="3" t="str">
        <f>HYPERLINK("https://modify.by/img/239183218/1.webp","фото")</f>
        <v>фото</v>
      </c>
      <c r="R219" s="3" t="str">
        <f>HYPERLINK("https://modify.by/catalog/kapri/239183218/?utm_source=price&amp;utm_medium=xlsx","открыть")</f>
        <v>открыть</v>
      </c>
    </row>
    <row r="220">
      <c r="A220" t="inlineStr">
        <is>
          <t xml:space="preserve">Женский</t>
        </is>
      </c>
      <c r="B220" t="inlineStr">
        <is>
          <t xml:space="preserve">Капри</t>
        </is>
      </c>
      <c r="C220" t="inlineStr">
        <is>
          <t xml:space="preserve">Брюки капри хлопковые на резинке большие размеры, хаки</t>
        </is>
      </c>
      <c r="D220" t="inlineStr">
        <is>
          <t xml:space="preserve">CP42W01хаки</t>
        </is>
      </c>
      <c r="E220" t="inlineStr">
        <is>
          <t xml:space="preserve">хаки</t>
        </is>
      </c>
      <c r="F220" t="inlineStr">
        <is>
          <t xml:space="preserve">60-170</t>
        </is>
      </c>
      <c r="G220">
        <v>2</v>
      </c>
      <c r="H220" s="2">
        <v>32.0</v>
      </c>
      <c r="I220" t="inlineStr">
        <is>
          <t xml:space="preserve">Хлопок 97% Эластан 3%</t>
        </is>
      </c>
      <c r="J220"/>
      <c r="K220" t="inlineStr">
        <is>
          <t xml:space="preserve">Бангладеш</t>
        </is>
      </c>
      <c r="L220" t="inlineStr">
        <is>
          <t xml:space="preserve">6104630000</t>
        </is>
      </c>
      <c r="M220" t="inlineStr">
        <is>
          <t xml:space="preserve">Декларация № ЕАЭС № BY/112 11.01. ТР017 122.01 08246, до 19.04.2028</t>
        </is>
      </c>
      <c r="N220" t="inlineStr">
        <is>
          <t xml:space="preserve">34 × 31 × 3</t>
        </is>
      </c>
      <c r="O220" t="inlineStr">
        <is>
          <t xml:space="preserve">0,43</t>
        </is>
      </c>
      <c r="P220" t="inlineStr">
        <is>
          <t xml:space="preserve">4816148104762</t>
        </is>
      </c>
      <c r="Q220" s="3" t="str">
        <f>HYPERLINK("https://modify.by/img/234701232/1.webp","фото")</f>
        <v>фото</v>
      </c>
      <c r="R220" s="3" t="str">
        <f>HYPERLINK("https://modify.by/catalog/kapri/234701232/?utm_source=price&amp;utm_medium=xlsx","открыть")</f>
        <v>открыть</v>
      </c>
    </row>
    <row r="221">
      <c r="A221" t="inlineStr">
        <is>
          <t xml:space="preserve">Женский</t>
        </is>
      </c>
      <c r="B221" t="inlineStr">
        <is>
          <t xml:space="preserve">Капри</t>
        </is>
      </c>
      <c r="C221" t="inlineStr">
        <is>
          <t xml:space="preserve">Брюки капри хлопковые на резинке большие размеры, черный</t>
        </is>
      </c>
      <c r="D221" t="inlineStr">
        <is>
          <t xml:space="preserve">CP42W01черный</t>
        </is>
      </c>
      <c r="E221" t="inlineStr">
        <is>
          <t xml:space="preserve">черный</t>
        </is>
      </c>
      <c r="F221" t="inlineStr">
        <is>
          <t xml:space="preserve">48-164</t>
        </is>
      </c>
      <c r="G221">
        <v>6</v>
      </c>
      <c r="H221" s="2">
        <v>32.0</v>
      </c>
      <c r="I221" t="inlineStr">
        <is>
          <t xml:space="preserve">Хлопок 97% Эластан 3%</t>
        </is>
      </c>
      <c r="J221"/>
      <c r="K221" t="inlineStr">
        <is>
          <t xml:space="preserve">Бангладеш</t>
        </is>
      </c>
      <c r="L221" t="inlineStr">
        <is>
          <t xml:space="preserve">6104630000</t>
        </is>
      </c>
      <c r="M221" t="inlineStr">
        <is>
          <t xml:space="preserve">Декларация № ЕАЭС № BY/112 11.01. ТР017 122.01 08246, до 19.04.2028</t>
        </is>
      </c>
      <c r="N221" t="inlineStr">
        <is>
          <t xml:space="preserve">30 × 35 × 2</t>
        </is>
      </c>
      <c r="O221" t="inlineStr">
        <is>
          <t xml:space="preserve">0,43</t>
        </is>
      </c>
      <c r="P221" t="inlineStr">
        <is>
          <t xml:space="preserve">4816148103772</t>
        </is>
      </c>
      <c r="Q221" s="3" t="str">
        <f>HYPERLINK("https://modify.by/img/234701233/1.webp","фото")</f>
        <v>фото</v>
      </c>
      <c r="R221" s="3" t="str">
        <f>HYPERLINK("https://modify.by/catalog/kapri/234701233/?utm_source=price&amp;utm_medium=xlsx","открыть")</f>
        <v>открыть</v>
      </c>
    </row>
    <row r="222">
      <c r="A222" t="inlineStr">
        <is>
          <t xml:space="preserve">Женский</t>
        </is>
      </c>
      <c r="B222" t="inlineStr">
        <is>
          <t xml:space="preserve">Капри</t>
        </is>
      </c>
      <c r="C222" t="inlineStr">
        <is>
          <t xml:space="preserve">Брюки капри хлопковые на резинке большие размеры, черный</t>
        </is>
      </c>
      <c r="D222" t="inlineStr">
        <is>
          <t xml:space="preserve">CP42W01черный</t>
        </is>
      </c>
      <c r="E222" t="inlineStr">
        <is>
          <t xml:space="preserve">черный</t>
        </is>
      </c>
      <c r="F222" t="inlineStr">
        <is>
          <t xml:space="preserve">50-164</t>
        </is>
      </c>
      <c r="G222">
        <v>7</v>
      </c>
      <c r="H222" s="2">
        <v>32.0</v>
      </c>
      <c r="I222" t="inlineStr">
        <is>
          <t xml:space="preserve">Хлопок 97% Эластан 3%</t>
        </is>
      </c>
      <c r="J222"/>
      <c r="K222" t="inlineStr">
        <is>
          <t xml:space="preserve">Бангладеш</t>
        </is>
      </c>
      <c r="L222" t="inlineStr">
        <is>
          <t xml:space="preserve">6104630000</t>
        </is>
      </c>
      <c r="M222" t="inlineStr">
        <is>
          <t xml:space="preserve">Декларация № ЕАЭС № BY/112 11.01. ТР017 122.01 08246, до 19.04.2028</t>
        </is>
      </c>
      <c r="N222" t="inlineStr">
        <is>
          <t xml:space="preserve">30 × 35 × 2</t>
        </is>
      </c>
      <c r="O222" t="inlineStr">
        <is>
          <t xml:space="preserve">0,43</t>
        </is>
      </c>
      <c r="P222" t="inlineStr">
        <is>
          <t xml:space="preserve">4816148103789</t>
        </is>
      </c>
      <c r="Q222" s="3" t="str">
        <f>HYPERLINK("https://modify.by/img/234701233/1.webp","фото")</f>
        <v>фото</v>
      </c>
      <c r="R222" s="3" t="str">
        <f>HYPERLINK("https://modify.by/catalog/kapri/234701233/?utm_source=price&amp;utm_medium=xlsx","открыть")</f>
        <v>открыть</v>
      </c>
    </row>
    <row r="223">
      <c r="A223" t="inlineStr">
        <is>
          <t xml:space="preserve">Женский</t>
        </is>
      </c>
      <c r="B223" t="inlineStr">
        <is>
          <t xml:space="preserve">Капри</t>
        </is>
      </c>
      <c r="C223" t="inlineStr">
        <is>
          <t xml:space="preserve">Брюки капри хлопковые на резинке большие размеры, черный</t>
        </is>
      </c>
      <c r="D223" t="inlineStr">
        <is>
          <t xml:space="preserve">CP42W01черный</t>
        </is>
      </c>
      <c r="E223" t="inlineStr">
        <is>
          <t xml:space="preserve">черный</t>
        </is>
      </c>
      <c r="F223" t="inlineStr">
        <is>
          <t xml:space="preserve">52-164</t>
        </is>
      </c>
      <c r="G223">
        <v>24</v>
      </c>
      <c r="H223" s="2">
        <v>32.0</v>
      </c>
      <c r="I223" t="inlineStr">
        <is>
          <t xml:space="preserve">Хлопок 97% Эластан 3%</t>
        </is>
      </c>
      <c r="J223"/>
      <c r="K223" t="inlineStr">
        <is>
          <t xml:space="preserve">Бангладеш</t>
        </is>
      </c>
      <c r="L223" t="inlineStr">
        <is>
          <t xml:space="preserve">6104630000</t>
        </is>
      </c>
      <c r="M223" t="inlineStr">
        <is>
          <t xml:space="preserve">Декларация № ЕАЭС № BY/112 11.01. ТР017 122.01 08246, до 19.04.2028</t>
        </is>
      </c>
      <c r="N223" t="inlineStr">
        <is>
          <t xml:space="preserve">30 × 35 × 2</t>
        </is>
      </c>
      <c r="O223" t="inlineStr">
        <is>
          <t xml:space="preserve">0,43</t>
        </is>
      </c>
      <c r="P223" t="inlineStr">
        <is>
          <t xml:space="preserve">4816148103796</t>
        </is>
      </c>
      <c r="Q223" s="3" t="str">
        <f>HYPERLINK("https://modify.by/img/234701233/1.webp","фото")</f>
        <v>фото</v>
      </c>
      <c r="R223" s="3" t="str">
        <f>HYPERLINK("https://modify.by/catalog/kapri/234701233/?utm_source=price&amp;utm_medium=xlsx","открыть")</f>
        <v>открыть</v>
      </c>
    </row>
    <row r="224">
      <c r="A224" t="inlineStr">
        <is>
          <t xml:space="preserve">Женский</t>
        </is>
      </c>
      <c r="B224" t="inlineStr">
        <is>
          <t xml:space="preserve">Капри</t>
        </is>
      </c>
      <c r="C224" t="inlineStr">
        <is>
          <t xml:space="preserve">Капри Discovery 2020</t>
        </is>
      </c>
      <c r="D224" t="inlineStr">
        <is>
          <t xml:space="preserve">CP02W4Темно-синий</t>
        </is>
      </c>
      <c r="E224" t="inlineStr">
        <is>
          <t xml:space="preserve">темно-синий</t>
        </is>
      </c>
      <c r="F224" t="inlineStr">
        <is>
          <t xml:space="preserve">48-50</t>
        </is>
      </c>
      <c r="G224">
        <v>1</v>
      </c>
      <c r="H224" s="2">
        <v>26.0</v>
      </c>
      <c r="I224" t="inlineStr">
        <is>
          <t xml:space="preserve">хлопок 100%</t>
        </is>
      </c>
      <c r="J224"/>
      <c r="K224" t="inlineStr">
        <is>
          <t xml:space="preserve">Бангладеш</t>
        </is>
      </c>
      <c r="L224" t="inlineStr">
        <is>
          <t xml:space="preserve">6204691800</t>
        </is>
      </c>
      <c r="M224" t="inlineStr">
        <is>
          <t xml:space="preserve">по запросу</t>
        </is>
      </c>
      <c r="N224"/>
      <c r="O224"/>
      <c r="P224" t="inlineStr">
        <is>
          <t xml:space="preserve">4816148179456</t>
        </is>
      </c>
      <c r="Q224" s="3" t="str">
        <f>HYPERLINK("https://modify.by/img/12358979/1.webp","фото")</f>
        <v>фото</v>
      </c>
      <c r="R224" s="3" t="str">
        <f>HYPERLINK("https://modify.by/catalog/kapri/12358979/?utm_source=price&amp;utm_medium=xlsx","открыть")</f>
        <v>открыть</v>
      </c>
    </row>
    <row r="225">
      <c r="A225" t="inlineStr">
        <is>
          <t xml:space="preserve">Женский</t>
        </is>
      </c>
      <c r="B225" t="inlineStr">
        <is>
          <t xml:space="preserve">Капри</t>
        </is>
      </c>
      <c r="C225" t="inlineStr">
        <is>
          <t xml:space="preserve">Капри Discovery 2020</t>
        </is>
      </c>
      <c r="D225" t="inlineStr">
        <is>
          <t xml:space="preserve">CP02W4Темно-синий</t>
        </is>
      </c>
      <c r="E225" t="inlineStr">
        <is>
          <t xml:space="preserve">темно-синий</t>
        </is>
      </c>
      <c r="F225" t="inlineStr">
        <is>
          <t xml:space="preserve">48-50</t>
        </is>
      </c>
      <c r="G225">
        <v>1</v>
      </c>
      <c r="H225" s="2">
        <v>26.0</v>
      </c>
      <c r="I225" t="inlineStr">
        <is>
          <t xml:space="preserve">хлопок 100%</t>
        </is>
      </c>
      <c r="J225"/>
      <c r="K225" t="inlineStr">
        <is>
          <t xml:space="preserve">Бангладеш</t>
        </is>
      </c>
      <c r="L225" t="inlineStr">
        <is>
          <t xml:space="preserve">6204691800</t>
        </is>
      </c>
      <c r="M225" t="inlineStr">
        <is>
          <t xml:space="preserve">по запросу</t>
        </is>
      </c>
      <c r="N225"/>
      <c r="O225"/>
      <c r="P225" t="inlineStr">
        <is>
          <t xml:space="preserve">8595633655144</t>
        </is>
      </c>
      <c r="Q225" s="3" t="str">
        <f>HYPERLINK("https://modify.by/img/12358979/1.webp","фото")</f>
        <v>фото</v>
      </c>
      <c r="R225" s="3" t="str">
        <f>HYPERLINK("https://modify.by/catalog/kapri/12358979/?utm_source=price&amp;utm_medium=xlsx","открыть")</f>
        <v>открыть</v>
      </c>
    </row>
    <row r="226">
      <c r="A226" t="inlineStr">
        <is>
          <t xml:space="preserve">Женский</t>
        </is>
      </c>
      <c r="B226" t="inlineStr">
        <is>
          <t xml:space="preserve">Капри</t>
        </is>
      </c>
      <c r="C226" t="inlineStr">
        <is>
          <t xml:space="preserve">Капри летние</t>
        </is>
      </c>
      <c r="D226" t="inlineStr">
        <is>
          <t xml:space="preserve">CP12W11темно-синий</t>
        </is>
      </c>
      <c r="E226" t="inlineStr">
        <is>
          <t xml:space="preserve">темно-синий</t>
        </is>
      </c>
      <c r="F226" t="inlineStr">
        <is>
          <t xml:space="preserve">46-48</t>
        </is>
      </c>
      <c r="G226">
        <v>1</v>
      </c>
      <c r="H226" s="2">
        <v>22.0</v>
      </c>
      <c r="I226" t="inlineStr">
        <is>
          <t xml:space="preserve">хлопок</t>
        </is>
      </c>
      <c r="J226"/>
      <c r="K226" t="inlineStr">
        <is>
          <t xml:space="preserve">Бангладеш</t>
        </is>
      </c>
      <c r="L226" t="inlineStr">
        <is>
          <t xml:space="preserve">6204623100</t>
        </is>
      </c>
      <c r="M226" t="inlineStr">
        <is>
          <t xml:space="preserve">по запросу</t>
        </is>
      </c>
      <c r="N226"/>
      <c r="O226"/>
      <c r="P226" t="inlineStr">
        <is>
          <t xml:space="preserve">8595633715619</t>
        </is>
      </c>
      <c r="Q226" s="3" t="str">
        <f>HYPERLINK("https://modify.by/img/33059164/1.webp","фото")</f>
        <v>фото</v>
      </c>
      <c r="R226" s="3" t="str">
        <f>HYPERLINK("https://modify.by/catalog/kapri/33059164/?utm_source=price&amp;utm_medium=xlsx","открыть")</f>
        <v>открыть</v>
      </c>
    </row>
    <row r="227">
      <c r="A227" t="inlineStr">
        <is>
          <t xml:space="preserve">Женский</t>
        </is>
      </c>
      <c r="B227" t="inlineStr">
        <is>
          <t xml:space="preserve">Капри</t>
        </is>
      </c>
      <c r="C227" t="inlineStr">
        <is>
          <t xml:space="preserve">Капри летние с высокой посадкой на резинке</t>
        </is>
      </c>
      <c r="D227" t="inlineStr">
        <is>
          <t xml:space="preserve">CP32W05белый</t>
        </is>
      </c>
      <c r="E227" t="inlineStr">
        <is>
          <t xml:space="preserve">белый</t>
        </is>
      </c>
      <c r="F227" t="inlineStr">
        <is>
          <t xml:space="preserve">46</t>
        </is>
      </c>
      <c r="G227">
        <v>1</v>
      </c>
      <c r="H227" s="2">
        <v>31.0</v>
      </c>
      <c r="I227" t="inlineStr">
        <is>
          <t xml:space="preserve">вискоза 75% полиамид 23% эластан 2%</t>
        </is>
      </c>
      <c r="J227"/>
      <c r="K227" t="inlineStr">
        <is>
          <t xml:space="preserve">Бангладеш</t>
        </is>
      </c>
      <c r="L227" t="inlineStr">
        <is>
          <t xml:space="preserve">6204691800</t>
        </is>
      </c>
      <c r="M227" t="inlineStr">
        <is>
          <t xml:space="preserve">Декларация № ЕАЭС № BY/112 11.01. ТР017 122.01 08246, до 19.04.2028</t>
        </is>
      </c>
      <c r="N227" t="inlineStr">
        <is>
          <t xml:space="preserve">36 × 30 × 2</t>
        </is>
      </c>
      <c r="O227" t="inlineStr">
        <is>
          <t xml:space="preserve">0,35</t>
        </is>
      </c>
      <c r="P227" t="inlineStr">
        <is>
          <t xml:space="preserve">2038096194202</t>
        </is>
      </c>
      <c r="Q227" s="3" t="str">
        <f>HYPERLINK("https://modify.by/img/215275374/1.webp","фото")</f>
        <v>фото</v>
      </c>
      <c r="R227" s="3" t="str">
        <f>HYPERLINK("https://modify.by/catalog/kapri/215275374/?utm_source=price&amp;utm_medium=xlsx","открыть")</f>
        <v>открыть</v>
      </c>
    </row>
    <row r="228">
      <c r="A228" t="inlineStr">
        <is>
          <t xml:space="preserve">Женский</t>
        </is>
      </c>
      <c r="B228" t="inlineStr">
        <is>
          <t xml:space="preserve">Капри</t>
        </is>
      </c>
      <c r="C228" t="inlineStr">
        <is>
          <t xml:space="preserve">Капри летние с высокой посадкой на резинке</t>
        </is>
      </c>
      <c r="D228" t="inlineStr">
        <is>
          <t xml:space="preserve">CP32W05белый</t>
        </is>
      </c>
      <c r="E228" t="inlineStr">
        <is>
          <t xml:space="preserve">белый</t>
        </is>
      </c>
      <c r="F228" t="inlineStr">
        <is>
          <t xml:space="preserve">48</t>
        </is>
      </c>
      <c r="G228">
        <v>16</v>
      </c>
      <c r="H228" s="2">
        <v>31.0</v>
      </c>
      <c r="I228" t="inlineStr">
        <is>
          <t xml:space="preserve">вискоза 75% полиамид 23% эластан 2%</t>
        </is>
      </c>
      <c r="J228"/>
      <c r="K228" t="inlineStr">
        <is>
          <t xml:space="preserve">Бангладеш</t>
        </is>
      </c>
      <c r="L228" t="inlineStr">
        <is>
          <t xml:space="preserve">6204691800</t>
        </is>
      </c>
      <c r="M228" t="inlineStr">
        <is>
          <t xml:space="preserve">Декларация № ЕАЭС № BY/112 11.01. ТР017 122.01 08246, до 19.04.2028</t>
        </is>
      </c>
      <c r="N228" t="inlineStr">
        <is>
          <t xml:space="preserve">36 × 30 × 2</t>
        </is>
      </c>
      <c r="O228" t="inlineStr">
        <is>
          <t xml:space="preserve">0,35</t>
        </is>
      </c>
      <c r="P228" t="inlineStr">
        <is>
          <t xml:space="preserve">2038096194219</t>
        </is>
      </c>
      <c r="Q228" s="3" t="str">
        <f>HYPERLINK("https://modify.by/img/215275374/1.webp","фото")</f>
        <v>фото</v>
      </c>
      <c r="R228" s="3" t="str">
        <f>HYPERLINK("https://modify.by/catalog/kapri/215275374/?utm_source=price&amp;utm_medium=xlsx","открыть")</f>
        <v>открыть</v>
      </c>
    </row>
    <row r="229">
      <c r="A229" t="inlineStr">
        <is>
          <t xml:space="preserve">Женский</t>
        </is>
      </c>
      <c r="B229" t="inlineStr">
        <is>
          <t xml:space="preserve">Капри</t>
        </is>
      </c>
      <c r="C229" t="inlineStr">
        <is>
          <t xml:space="preserve">Капри летние с высокой посадкой на резинке</t>
        </is>
      </c>
      <c r="D229" t="inlineStr">
        <is>
          <t xml:space="preserve">CP32W05белый</t>
        </is>
      </c>
      <c r="E229" t="inlineStr">
        <is>
          <t xml:space="preserve">белый</t>
        </is>
      </c>
      <c r="F229" t="inlineStr">
        <is>
          <t xml:space="preserve">48</t>
        </is>
      </c>
      <c r="G229">
        <v>16</v>
      </c>
      <c r="H229" s="2">
        <v>31.0</v>
      </c>
      <c r="I229" t="inlineStr">
        <is>
          <t xml:space="preserve">вискоза 75% полиамид 23% эластан 2%</t>
        </is>
      </c>
      <c r="J229"/>
      <c r="K229" t="inlineStr">
        <is>
          <t xml:space="preserve">Бангладеш</t>
        </is>
      </c>
      <c r="L229" t="inlineStr">
        <is>
          <t xml:space="preserve">6204691800</t>
        </is>
      </c>
      <c r="M229" t="inlineStr">
        <is>
          <t xml:space="preserve">Декларация № ЕАЭС № BY/112 11.01. ТР017 122.01 08246, до 19.04.2028</t>
        </is>
      </c>
      <c r="N229" t="inlineStr">
        <is>
          <t xml:space="preserve">36 × 30 × 2</t>
        </is>
      </c>
      <c r="O229" t="inlineStr">
        <is>
          <t xml:space="preserve">0,35</t>
        </is>
      </c>
      <c r="P229" t="inlineStr">
        <is>
          <t xml:space="preserve">4816148112996</t>
        </is>
      </c>
      <c r="Q229" s="3" t="str">
        <f>HYPERLINK("https://modify.by/img/215275374/1.webp","фото")</f>
        <v>фото</v>
      </c>
      <c r="R229" s="3" t="str">
        <f>HYPERLINK("https://modify.by/catalog/kapri/215275374/?utm_source=price&amp;utm_medium=xlsx","открыть")</f>
        <v>открыть</v>
      </c>
    </row>
    <row r="230">
      <c r="A230" t="inlineStr">
        <is>
          <t xml:space="preserve">Женский</t>
        </is>
      </c>
      <c r="B230" t="inlineStr">
        <is>
          <t xml:space="preserve">Капри</t>
        </is>
      </c>
      <c r="C230" t="inlineStr">
        <is>
          <t xml:space="preserve">Капри летние с высокой посадкой на резинке</t>
        </is>
      </c>
      <c r="D230" t="inlineStr">
        <is>
          <t xml:space="preserve">CP32W05белый</t>
        </is>
      </c>
      <c r="E230" t="inlineStr">
        <is>
          <t xml:space="preserve">белый</t>
        </is>
      </c>
      <c r="F230" t="inlineStr">
        <is>
          <t xml:space="preserve">52</t>
        </is>
      </c>
      <c r="G230">
        <v>2</v>
      </c>
      <c r="H230" s="2">
        <v>31.0</v>
      </c>
      <c r="I230" t="inlineStr">
        <is>
          <t xml:space="preserve">вискоза 75% полиамид 23% эластан 2%</t>
        </is>
      </c>
      <c r="J230"/>
      <c r="K230" t="inlineStr">
        <is>
          <t xml:space="preserve">Бангладеш</t>
        </is>
      </c>
      <c r="L230" t="inlineStr">
        <is>
          <t xml:space="preserve">6204691800</t>
        </is>
      </c>
      <c r="M230" t="inlineStr">
        <is>
          <t xml:space="preserve">Декларация № ЕАЭС № BY/112 11.01. ТР017 122.01 08246, до 19.04.2028</t>
        </is>
      </c>
      <c r="N230" t="inlineStr">
        <is>
          <t xml:space="preserve">36 × 30 × 2</t>
        </is>
      </c>
      <c r="O230" t="inlineStr">
        <is>
          <t xml:space="preserve">0,35</t>
        </is>
      </c>
      <c r="P230" t="inlineStr">
        <is>
          <t xml:space="preserve">2038096194233</t>
        </is>
      </c>
      <c r="Q230" s="3" t="str">
        <f>HYPERLINK("https://modify.by/img/215275374/1.webp","фото")</f>
        <v>фото</v>
      </c>
      <c r="R230" s="3" t="str">
        <f>HYPERLINK("https://modify.by/catalog/kapri/215275374/?utm_source=price&amp;utm_medium=xlsx","открыть")</f>
        <v>открыть</v>
      </c>
    </row>
    <row r="231">
      <c r="A231" t="inlineStr">
        <is>
          <t xml:space="preserve">Женский</t>
        </is>
      </c>
      <c r="B231" t="inlineStr">
        <is>
          <t xml:space="preserve">Капри</t>
        </is>
      </c>
      <c r="C231" t="inlineStr">
        <is>
          <t xml:space="preserve">Капри летние с высокой посадкой на резинке</t>
        </is>
      </c>
      <c r="D231" t="inlineStr">
        <is>
          <t xml:space="preserve">CP32W05белый</t>
        </is>
      </c>
      <c r="E231" t="inlineStr">
        <is>
          <t xml:space="preserve">белый</t>
        </is>
      </c>
      <c r="F231" t="inlineStr">
        <is>
          <t xml:space="preserve">52</t>
        </is>
      </c>
      <c r="G231">
        <v>2</v>
      </c>
      <c r="H231" s="2">
        <v>31.0</v>
      </c>
      <c r="I231" t="inlineStr">
        <is>
          <t xml:space="preserve">вискоза 75% полиамид 23% эластан 2%</t>
        </is>
      </c>
      <c r="J231"/>
      <c r="K231" t="inlineStr">
        <is>
          <t xml:space="preserve">Бангладеш</t>
        </is>
      </c>
      <c r="L231" t="inlineStr">
        <is>
          <t xml:space="preserve">6204691800</t>
        </is>
      </c>
      <c r="M231" t="inlineStr">
        <is>
          <t xml:space="preserve">Декларация № ЕАЭС № BY/112 11.01. ТР017 122.01 08246, до 19.04.2028</t>
        </is>
      </c>
      <c r="N231" t="inlineStr">
        <is>
          <t xml:space="preserve">36 × 30 × 2</t>
        </is>
      </c>
      <c r="O231" t="inlineStr">
        <is>
          <t xml:space="preserve">0,35</t>
        </is>
      </c>
      <c r="P231" t="inlineStr">
        <is>
          <t xml:space="preserve">4816148127563</t>
        </is>
      </c>
      <c r="Q231" s="3" t="str">
        <f>HYPERLINK("https://modify.by/img/215275374/1.webp","фото")</f>
        <v>фото</v>
      </c>
      <c r="R231" s="3" t="str">
        <f>HYPERLINK("https://modify.by/catalog/kapri/215275374/?utm_source=price&amp;utm_medium=xlsx","открыть")</f>
        <v>открыть</v>
      </c>
    </row>
    <row r="232">
      <c r="A232" t="inlineStr">
        <is>
          <t xml:space="preserve">Женский</t>
        </is>
      </c>
      <c r="B232" t="inlineStr">
        <is>
          <t xml:space="preserve">Капри</t>
        </is>
      </c>
      <c r="C232" t="inlineStr">
        <is>
          <t xml:space="preserve">Капри летние с высокой посадкой на резинке</t>
        </is>
      </c>
      <c r="D232" t="inlineStr">
        <is>
          <t xml:space="preserve">CP32W05белый</t>
        </is>
      </c>
      <c r="E232" t="inlineStr">
        <is>
          <t xml:space="preserve">белый</t>
        </is>
      </c>
      <c r="F232" t="inlineStr">
        <is>
          <t xml:space="preserve">56</t>
        </is>
      </c>
      <c r="G232">
        <v>1</v>
      </c>
      <c r="H232" s="2">
        <v>31.0</v>
      </c>
      <c r="I232" t="inlineStr">
        <is>
          <t xml:space="preserve">вискоза 75% полиамид 23% эластан 2%</t>
        </is>
      </c>
      <c r="J232"/>
      <c r="K232" t="inlineStr">
        <is>
          <t xml:space="preserve">Бангладеш</t>
        </is>
      </c>
      <c r="L232" t="inlineStr">
        <is>
          <t xml:space="preserve">6204691800</t>
        </is>
      </c>
      <c r="M232" t="inlineStr">
        <is>
          <t xml:space="preserve">Декларация № ЕАЭС № BY/112 11.01. ТР017 122.01 08246, до 19.04.2028</t>
        </is>
      </c>
      <c r="N232" t="inlineStr">
        <is>
          <t xml:space="preserve">36 × 30 × 2</t>
        </is>
      </c>
      <c r="O232" t="inlineStr">
        <is>
          <t xml:space="preserve">0,35</t>
        </is>
      </c>
      <c r="P232" t="inlineStr">
        <is>
          <t xml:space="preserve">2038096194257</t>
        </is>
      </c>
      <c r="Q232" s="3" t="str">
        <f>HYPERLINK("https://modify.by/img/215275374/1.webp","фото")</f>
        <v>фото</v>
      </c>
      <c r="R232" s="3" t="str">
        <f>HYPERLINK("https://modify.by/catalog/kapri/215275374/?utm_source=price&amp;utm_medium=xlsx","открыть")</f>
        <v>открыть</v>
      </c>
    </row>
    <row r="233">
      <c r="A233" t="inlineStr">
        <is>
          <t xml:space="preserve">Женский</t>
        </is>
      </c>
      <c r="B233" t="inlineStr">
        <is>
          <t xml:space="preserve">Капри</t>
        </is>
      </c>
      <c r="C233" t="inlineStr">
        <is>
          <t xml:space="preserve">Капри летние с высокой посадкой на резинке</t>
        </is>
      </c>
      <c r="D233" t="inlineStr">
        <is>
          <t xml:space="preserve">CP32W05белый</t>
        </is>
      </c>
      <c r="E233" t="inlineStr">
        <is>
          <t xml:space="preserve">белый</t>
        </is>
      </c>
      <c r="F233" t="inlineStr">
        <is>
          <t xml:space="preserve">56</t>
        </is>
      </c>
      <c r="G233">
        <v>1</v>
      </c>
      <c r="H233" s="2">
        <v>31.0</v>
      </c>
      <c r="I233" t="inlineStr">
        <is>
          <t xml:space="preserve">вискоза 75% полиамид 23% эластан 2%</t>
        </is>
      </c>
      <c r="J233"/>
      <c r="K233" t="inlineStr">
        <is>
          <t xml:space="preserve">Бангладеш</t>
        </is>
      </c>
      <c r="L233" t="inlineStr">
        <is>
          <t xml:space="preserve">6204691800</t>
        </is>
      </c>
      <c r="M233" t="inlineStr">
        <is>
          <t xml:space="preserve">Декларация № ЕАЭС № BY/112 11.01. ТР017 122.01 08246, до 19.04.2028</t>
        </is>
      </c>
      <c r="N233" t="inlineStr">
        <is>
          <t xml:space="preserve">36 × 30 × 2</t>
        </is>
      </c>
      <c r="O233" t="inlineStr">
        <is>
          <t xml:space="preserve">0,35</t>
        </is>
      </c>
      <c r="P233" t="inlineStr">
        <is>
          <t xml:space="preserve">4816148113009</t>
        </is>
      </c>
      <c r="Q233" s="3" t="str">
        <f>HYPERLINK("https://modify.by/img/215275374/1.webp","фото")</f>
        <v>фото</v>
      </c>
      <c r="R233" s="3" t="str">
        <f>HYPERLINK("https://modify.by/catalog/kapri/215275374/?utm_source=price&amp;utm_medium=xlsx","открыть")</f>
        <v>открыть</v>
      </c>
    </row>
    <row r="234">
      <c r="A234" t="inlineStr">
        <is>
          <t xml:space="preserve">Женский</t>
        </is>
      </c>
      <c r="B234" t="inlineStr">
        <is>
          <t xml:space="preserve">Капри</t>
        </is>
      </c>
      <c r="C234" t="inlineStr">
        <is>
          <t xml:space="preserve">Капри летние с высокой посадкой, белый</t>
        </is>
      </c>
      <c r="D234" t="inlineStr">
        <is>
          <t xml:space="preserve">CP32W03белый</t>
        </is>
      </c>
      <c r="E234" t="inlineStr">
        <is>
          <t xml:space="preserve">белый</t>
        </is>
      </c>
      <c r="F234" t="inlineStr">
        <is>
          <t xml:space="preserve">40</t>
        </is>
      </c>
      <c r="G234">
        <v>1</v>
      </c>
      <c r="H234" s="2">
        <v>33.0</v>
      </c>
      <c r="I234" t="inlineStr">
        <is>
          <t xml:space="preserve">98% хлопок, 2% эластан</t>
        </is>
      </c>
      <c r="J234"/>
      <c r="K234" t="inlineStr">
        <is>
          <t xml:space="preserve">Бангладеш</t>
        </is>
      </c>
      <c r="L234" t="inlineStr">
        <is>
          <t xml:space="preserve">6204699000</t>
        </is>
      </c>
      <c r="M234" t="inlineStr">
        <is>
          <t xml:space="preserve">по запросу</t>
        </is>
      </c>
      <c r="N234"/>
      <c r="O234"/>
      <c r="P234" t="inlineStr">
        <is>
          <t xml:space="preserve">2038096194264</t>
        </is>
      </c>
      <c r="Q234" s="3" t="str">
        <f>HYPERLINK("https://modify.by/img/210535063/1.webp","фото")</f>
        <v>фото</v>
      </c>
      <c r="R234" s="3" t="str">
        <f>HYPERLINK("https://modify.by/catalog/kapri/210535063/?utm_source=price&amp;utm_medium=xlsx","открыть")</f>
        <v>открыть</v>
      </c>
    </row>
    <row r="235">
      <c r="A235" t="inlineStr">
        <is>
          <t xml:space="preserve">Женский</t>
        </is>
      </c>
      <c r="B235" t="inlineStr">
        <is>
          <t xml:space="preserve">Капри</t>
        </is>
      </c>
      <c r="C235" t="inlineStr">
        <is>
          <t xml:space="preserve">Капри летние с высокой посадкой, темно-синий</t>
        </is>
      </c>
      <c r="D235" t="inlineStr">
        <is>
          <t xml:space="preserve">CP32W03темно-синий</t>
        </is>
      </c>
      <c r="E235" t="inlineStr">
        <is>
          <t xml:space="preserve">темно-синий</t>
        </is>
      </c>
      <c r="F235" t="inlineStr">
        <is>
          <t xml:space="preserve">50</t>
        </is>
      </c>
      <c r="G235">
        <v>1</v>
      </c>
      <c r="H235" s="2">
        <v>33.0</v>
      </c>
      <c r="I235" t="inlineStr">
        <is>
          <t xml:space="preserve">98% хлопок, 2% эластан</t>
        </is>
      </c>
      <c r="J235"/>
      <c r="K235" t="inlineStr">
        <is>
          <t xml:space="preserve">Бангладеш</t>
        </is>
      </c>
      <c r="L235" t="inlineStr">
        <is>
          <t xml:space="preserve">6204699000</t>
        </is>
      </c>
      <c r="M235" t="inlineStr">
        <is>
          <t xml:space="preserve">по запросу</t>
        </is>
      </c>
      <c r="N235"/>
      <c r="O235"/>
      <c r="P235" t="inlineStr">
        <is>
          <t xml:space="preserve">2038096194394</t>
        </is>
      </c>
      <c r="Q235" s="3" t="str">
        <f>HYPERLINK("https://modify.by/img/210535123/1.webp","фото")</f>
        <v>фото</v>
      </c>
      <c r="R235" s="3" t="str">
        <f>HYPERLINK("https://modify.by/catalog/kapri/210535123/?utm_source=price&amp;utm_medium=xlsx","открыть")</f>
        <v>открыть</v>
      </c>
    </row>
    <row r="236">
      <c r="A236" t="inlineStr">
        <is>
          <t xml:space="preserve">Женский</t>
        </is>
      </c>
      <c r="B236" t="inlineStr">
        <is>
          <t xml:space="preserve">Капри</t>
        </is>
      </c>
      <c r="C236" t="inlineStr">
        <is>
          <t xml:space="preserve">Капри с высокой посадкой джинсовые на резинке, светло-синий</t>
        </is>
      </c>
      <c r="D236" t="inlineStr">
        <is>
          <t xml:space="preserve">CP32W04светло-синий</t>
        </is>
      </c>
      <c r="E236" t="inlineStr">
        <is>
          <t xml:space="preserve">светло-синий</t>
        </is>
      </c>
      <c r="F236" t="inlineStr">
        <is>
          <t xml:space="preserve">56</t>
        </is>
      </c>
      <c r="G236">
        <v>1</v>
      </c>
      <c r="H236" s="2">
        <v>35.0</v>
      </c>
      <c r="I236" t="inlineStr">
        <is>
          <t xml:space="preserve">Хлопок 98% Эластан 2%</t>
        </is>
      </c>
      <c r="J236"/>
      <c r="K236" t="inlineStr">
        <is>
          <t xml:space="preserve">Бангладеш</t>
        </is>
      </c>
      <c r="L236" t="inlineStr">
        <is>
          <t xml:space="preserve">6204623100</t>
        </is>
      </c>
      <c r="M236" t="inlineStr">
        <is>
          <t xml:space="preserve">по запросу</t>
        </is>
      </c>
      <c r="N236" t="inlineStr">
        <is>
          <t xml:space="preserve">34 × 27 × 2</t>
        </is>
      </c>
      <c r="O236" t="inlineStr">
        <is>
          <t xml:space="preserve">0,39</t>
        </is>
      </c>
      <c r="P236" t="inlineStr">
        <is>
          <t xml:space="preserve">2038096193274</t>
        </is>
      </c>
      <c r="Q236" s="3" t="str">
        <f>HYPERLINK("https://modify.by/img/208722544/1.webp","фото")</f>
        <v>фото</v>
      </c>
      <c r="R236" s="3" t="str">
        <f>HYPERLINK("https://modify.by/catalog/kapri/208722544/?utm_source=price&amp;utm_medium=xlsx","открыть")</f>
        <v>открыть</v>
      </c>
    </row>
    <row r="237">
      <c r="A237" t="inlineStr">
        <is>
          <t xml:space="preserve">Женский</t>
        </is>
      </c>
      <c r="B237" t="inlineStr">
        <is>
          <t xml:space="preserve">Капри</t>
        </is>
      </c>
      <c r="C237" t="inlineStr">
        <is>
          <t xml:space="preserve">Капри с высокой посадкой джинсовые на резинке, светло-синий</t>
        </is>
      </c>
      <c r="D237" t="inlineStr">
        <is>
          <t xml:space="preserve">CP32W04светло-синий</t>
        </is>
      </c>
      <c r="E237" t="inlineStr">
        <is>
          <t xml:space="preserve">светло-синий</t>
        </is>
      </c>
      <c r="F237" t="inlineStr">
        <is>
          <t xml:space="preserve">58</t>
        </is>
      </c>
      <c r="G237">
        <v>1</v>
      </c>
      <c r="H237" s="2">
        <v>35.0</v>
      </c>
      <c r="I237" t="inlineStr">
        <is>
          <t xml:space="preserve">Хлопок 98% Эластан 2%</t>
        </is>
      </c>
      <c r="J237"/>
      <c r="K237" t="inlineStr">
        <is>
          <t xml:space="preserve">Бангладеш</t>
        </is>
      </c>
      <c r="L237" t="inlineStr">
        <is>
          <t xml:space="preserve">6204623100</t>
        </is>
      </c>
      <c r="M237" t="inlineStr">
        <is>
          <t xml:space="preserve">по запросу</t>
        </is>
      </c>
      <c r="N237" t="inlineStr">
        <is>
          <t xml:space="preserve">34 × 27 × 2</t>
        </is>
      </c>
      <c r="O237" t="inlineStr">
        <is>
          <t xml:space="preserve">0,39</t>
        </is>
      </c>
      <c r="P237" t="inlineStr">
        <is>
          <t xml:space="preserve">2038096193281</t>
        </is>
      </c>
      <c r="Q237" s="3" t="str">
        <f>HYPERLINK("https://modify.by/img/208722544/1.webp","фото")</f>
        <v>фото</v>
      </c>
      <c r="R237" s="3" t="str">
        <f>HYPERLINK("https://modify.by/catalog/kapri/208722544/?utm_source=price&amp;utm_medium=xlsx","открыть")</f>
        <v>открыть</v>
      </c>
    </row>
    <row r="238">
      <c r="A238" t="inlineStr">
        <is>
          <t xml:space="preserve">Женский</t>
        </is>
      </c>
      <c r="B238" t="inlineStr">
        <is>
          <t xml:space="preserve">Капри</t>
        </is>
      </c>
      <c r="C238" t="inlineStr">
        <is>
          <t xml:space="preserve">Капри с высокой посадкой джинсовые на резинке, синий</t>
        </is>
      </c>
      <c r="D238" t="inlineStr">
        <is>
          <t xml:space="preserve">CP32W04синий</t>
        </is>
      </c>
      <c r="E238" t="inlineStr">
        <is>
          <t xml:space="preserve">синий</t>
        </is>
      </c>
      <c r="F238" t="inlineStr">
        <is>
          <t xml:space="preserve">44</t>
        </is>
      </c>
      <c r="G238">
        <v>4</v>
      </c>
      <c r="H238" s="2">
        <v>35.0</v>
      </c>
      <c r="I238" t="inlineStr">
        <is>
          <t xml:space="preserve">Хлопок 98% Эластан 2%</t>
        </is>
      </c>
      <c r="J238"/>
      <c r="K238" t="inlineStr">
        <is>
          <t xml:space="preserve">Бангладеш</t>
        </is>
      </c>
      <c r="L238" t="inlineStr">
        <is>
          <t xml:space="preserve">6204623100</t>
        </is>
      </c>
      <c r="M238" t="inlineStr">
        <is>
          <t xml:space="preserve">Декларация № ЕАЭС № BY/112 11.01. ТР017 122.01 08246, до 19.04.2028</t>
        </is>
      </c>
      <c r="N238" t="inlineStr">
        <is>
          <t xml:space="preserve">34 × 27 × 2</t>
        </is>
      </c>
      <c r="O238" t="inlineStr">
        <is>
          <t xml:space="preserve">0,39</t>
        </is>
      </c>
      <c r="P238" t="inlineStr">
        <is>
          <t xml:space="preserve">2038096193113</t>
        </is>
      </c>
      <c r="Q238" s="3" t="str">
        <f>HYPERLINK("https://modify.by/img/208722535/1.webp","фото")</f>
        <v>фото</v>
      </c>
      <c r="R238" s="3" t="str">
        <f>HYPERLINK("https://modify.by/catalog/kapri/208722535/?utm_source=price&amp;utm_medium=xlsx","открыть")</f>
        <v>открыть</v>
      </c>
    </row>
    <row r="239">
      <c r="A239" t="inlineStr">
        <is>
          <t xml:space="preserve">Женский</t>
        </is>
      </c>
      <c r="B239" t="inlineStr">
        <is>
          <t xml:space="preserve">Капри</t>
        </is>
      </c>
      <c r="C239" t="inlineStr">
        <is>
          <t xml:space="preserve">Капри с высокой посадкой джинсовые на резинке, синий</t>
        </is>
      </c>
      <c r="D239" t="inlineStr">
        <is>
          <t xml:space="preserve">CP32W04синий</t>
        </is>
      </c>
      <c r="E239" t="inlineStr">
        <is>
          <t xml:space="preserve">синий</t>
        </is>
      </c>
      <c r="F239" t="inlineStr">
        <is>
          <t xml:space="preserve">44</t>
        </is>
      </c>
      <c r="G239">
        <v>4</v>
      </c>
      <c r="H239" s="2">
        <v>35.0</v>
      </c>
      <c r="I239" t="inlineStr">
        <is>
          <t xml:space="preserve">Хлопок 98% Эластан 2%</t>
        </is>
      </c>
      <c r="J239"/>
      <c r="K239" t="inlineStr">
        <is>
          <t xml:space="preserve">Бангладеш</t>
        </is>
      </c>
      <c r="L239" t="inlineStr">
        <is>
          <t xml:space="preserve">6204623100</t>
        </is>
      </c>
      <c r="M239" t="inlineStr">
        <is>
          <t xml:space="preserve">Декларация № ЕАЭС № BY/112 11.01. ТР017 122.01 08246, до 19.04.2028</t>
        </is>
      </c>
      <c r="N239" t="inlineStr">
        <is>
          <t xml:space="preserve">34 × 27 × 2</t>
        </is>
      </c>
      <c r="O239" t="inlineStr">
        <is>
          <t xml:space="preserve">0,39</t>
        </is>
      </c>
      <c r="P239" t="inlineStr">
        <is>
          <t xml:space="preserve">4816148112958</t>
        </is>
      </c>
      <c r="Q239" s="3" t="str">
        <f>HYPERLINK("https://modify.by/img/208722535/1.webp","фото")</f>
        <v>фото</v>
      </c>
      <c r="R239" s="3" t="str">
        <f>HYPERLINK("https://modify.by/catalog/kapri/208722535/?utm_source=price&amp;utm_medium=xlsx","открыть")</f>
        <v>открыть</v>
      </c>
    </row>
    <row r="240">
      <c r="A240" t="inlineStr">
        <is>
          <t xml:space="preserve">Женский</t>
        </is>
      </c>
      <c r="B240" t="inlineStr">
        <is>
          <t xml:space="preserve">Капри</t>
        </is>
      </c>
      <c r="C240" t="inlineStr">
        <is>
          <t xml:space="preserve">капри джинсовые на резинке с завязками эластичные</t>
        </is>
      </c>
      <c r="D240" t="inlineStr">
        <is>
          <t xml:space="preserve">CP32W07Темно-синий</t>
        </is>
      </c>
      <c r="E240" t="inlineStr">
        <is>
          <t xml:space="preserve">темно-синий</t>
        </is>
      </c>
      <c r="F240" t="inlineStr">
        <is>
          <t xml:space="preserve">42</t>
        </is>
      </c>
      <c r="G240">
        <v>1</v>
      </c>
      <c r="H240" s="2">
        <v>37.0</v>
      </c>
      <c r="I240" t="inlineStr">
        <is>
          <t xml:space="preserve">Хлопок 65% Полиэстер 33% Эластан 2%</t>
        </is>
      </c>
      <c r="J240"/>
      <c r="K240" t="inlineStr">
        <is>
          <t xml:space="preserve">Бангладеш</t>
        </is>
      </c>
      <c r="L240" t="inlineStr">
        <is>
          <t xml:space="preserve">6104620000</t>
        </is>
      </c>
      <c r="M240" t="inlineStr">
        <is>
          <t xml:space="preserve">Декларация № ЕАЭС № BY/112 11.01. ТР017 122.01 08246, до 19.04.2028</t>
        </is>
      </c>
      <c r="N240" t="inlineStr">
        <is>
          <t xml:space="preserve">33 × 30 × 2</t>
        </is>
      </c>
      <c r="O240" t="inlineStr">
        <is>
          <t xml:space="preserve">0,38</t>
        </is>
      </c>
      <c r="P240" t="inlineStr">
        <is>
          <t xml:space="preserve">2038096162744</t>
        </is>
      </c>
      <c r="Q240" s="3" t="str">
        <f>HYPERLINK("https://modify.by/img/171784443/1.webp","фото")</f>
        <v>фото</v>
      </c>
      <c r="R240" s="3" t="str">
        <f>HYPERLINK("https://modify.by/catalog/kapri/171784443/?utm_source=price&amp;utm_medium=xlsx","открыть")</f>
        <v>открыть</v>
      </c>
    </row>
    <row r="241">
      <c r="A241" t="inlineStr">
        <is>
          <t xml:space="preserve">Женский</t>
        </is>
      </c>
      <c r="B241" t="inlineStr">
        <is>
          <t xml:space="preserve">Капри</t>
        </is>
      </c>
      <c r="C241" t="inlineStr">
        <is>
          <t xml:space="preserve">капри джинсовые на резинке с завязками эластичные</t>
        </is>
      </c>
      <c r="D241" t="inlineStr">
        <is>
          <t xml:space="preserve">CP32W07Темно-синий</t>
        </is>
      </c>
      <c r="E241" t="inlineStr">
        <is>
          <t xml:space="preserve">темно-синий</t>
        </is>
      </c>
      <c r="F241" t="inlineStr">
        <is>
          <t xml:space="preserve">44</t>
        </is>
      </c>
      <c r="G241">
        <v>8</v>
      </c>
      <c r="H241" s="2">
        <v>37.0</v>
      </c>
      <c r="I241" t="inlineStr">
        <is>
          <t xml:space="preserve">Хлопок 65% Полиэстер 33% Эластан 2%</t>
        </is>
      </c>
      <c r="J241"/>
      <c r="K241" t="inlineStr">
        <is>
          <t xml:space="preserve">Бангладеш</t>
        </is>
      </c>
      <c r="L241" t="inlineStr">
        <is>
          <t xml:space="preserve">6104620000</t>
        </is>
      </c>
      <c r="M241" t="inlineStr">
        <is>
          <t xml:space="preserve">Декларация № ЕАЭС № BY/112 11.01. ТР017 122.01 08246, до 19.04.2028</t>
        </is>
      </c>
      <c r="N241" t="inlineStr">
        <is>
          <t xml:space="preserve">33 × 30 × 2</t>
        </is>
      </c>
      <c r="O241" t="inlineStr">
        <is>
          <t xml:space="preserve">0,38</t>
        </is>
      </c>
      <c r="P241" t="inlineStr">
        <is>
          <t xml:space="preserve">2038096161341</t>
        </is>
      </c>
      <c r="Q241" s="3" t="str">
        <f>HYPERLINK("https://modify.by/img/171784443/1.webp","фото")</f>
        <v>фото</v>
      </c>
      <c r="R241" s="3" t="str">
        <f>HYPERLINK("https://modify.by/catalog/kapri/171784443/?utm_source=price&amp;utm_medium=xlsx","открыть")</f>
        <v>открыть</v>
      </c>
    </row>
    <row r="242">
      <c r="A242" t="inlineStr">
        <is>
          <t xml:space="preserve">Женский</t>
        </is>
      </c>
      <c r="B242" t="inlineStr">
        <is>
          <t xml:space="preserve">Капри</t>
        </is>
      </c>
      <c r="C242" t="inlineStr">
        <is>
          <t xml:space="preserve">капри джинсовые на резинке с завязками эластичные</t>
        </is>
      </c>
      <c r="D242" t="inlineStr">
        <is>
          <t xml:space="preserve">CP32W07Темно-синий</t>
        </is>
      </c>
      <c r="E242" t="inlineStr">
        <is>
          <t xml:space="preserve">темно-синий</t>
        </is>
      </c>
      <c r="F242" t="inlineStr">
        <is>
          <t xml:space="preserve">44</t>
        </is>
      </c>
      <c r="G242">
        <v>8</v>
      </c>
      <c r="H242" s="2">
        <v>37.0</v>
      </c>
      <c r="I242" t="inlineStr">
        <is>
          <t xml:space="preserve">Хлопок 65% Полиэстер 33% Эластан 2%</t>
        </is>
      </c>
      <c r="J242"/>
      <c r="K242" t="inlineStr">
        <is>
          <t xml:space="preserve">Бангладеш</t>
        </is>
      </c>
      <c r="L242" t="inlineStr">
        <is>
          <t xml:space="preserve">6104620000</t>
        </is>
      </c>
      <c r="M242" t="inlineStr">
        <is>
          <t xml:space="preserve">Декларация № ЕАЭС № BY/112 11.01. ТР017 122.01 08246, до 19.04.2028</t>
        </is>
      </c>
      <c r="N242" t="inlineStr">
        <is>
          <t xml:space="preserve">33 × 30 × 2</t>
        </is>
      </c>
      <c r="O242" t="inlineStr">
        <is>
          <t xml:space="preserve">0,38</t>
        </is>
      </c>
      <c r="P242" t="inlineStr">
        <is>
          <t xml:space="preserve">4816148110121</t>
        </is>
      </c>
      <c r="Q242" s="3" t="str">
        <f>HYPERLINK("https://modify.by/img/171784443/1.webp","фото")</f>
        <v>фото</v>
      </c>
      <c r="R242" s="3" t="str">
        <f>HYPERLINK("https://modify.by/catalog/kapri/171784443/?utm_source=price&amp;utm_medium=xlsx","открыть")</f>
        <v>открыть</v>
      </c>
    </row>
    <row r="243">
      <c r="A243" t="inlineStr">
        <is>
          <t xml:space="preserve">Женский</t>
        </is>
      </c>
      <c r="B243" t="inlineStr">
        <is>
          <t xml:space="preserve">Капри</t>
        </is>
      </c>
      <c r="C243" t="inlineStr">
        <is>
          <t xml:space="preserve">капри джинсовые на резинке с завязками эластичные</t>
        </is>
      </c>
      <c r="D243" t="inlineStr">
        <is>
          <t xml:space="preserve">CP32W07Темно-синий</t>
        </is>
      </c>
      <c r="E243" t="inlineStr">
        <is>
          <t xml:space="preserve">темно-синий</t>
        </is>
      </c>
      <c r="F243" t="inlineStr">
        <is>
          <t xml:space="preserve">46</t>
        </is>
      </c>
      <c r="G243">
        <v>24</v>
      </c>
      <c r="H243" s="2">
        <v>37.0</v>
      </c>
      <c r="I243" t="inlineStr">
        <is>
          <t xml:space="preserve">Хлопок 65% Полиэстер 33% Эластан 2%</t>
        </is>
      </c>
      <c r="J243"/>
      <c r="K243" t="inlineStr">
        <is>
          <t xml:space="preserve">Бангладеш</t>
        </is>
      </c>
      <c r="L243" t="inlineStr">
        <is>
          <t xml:space="preserve">6104620000</t>
        </is>
      </c>
      <c r="M243" t="inlineStr">
        <is>
          <t xml:space="preserve">Декларация № ЕАЭС № BY/112 11.01. ТР017 122.01 08246, до 19.04.2028</t>
        </is>
      </c>
      <c r="N243" t="inlineStr">
        <is>
          <t xml:space="preserve">33 × 30 × 2</t>
        </is>
      </c>
      <c r="O243" t="inlineStr">
        <is>
          <t xml:space="preserve">0,38</t>
        </is>
      </c>
      <c r="P243" t="inlineStr">
        <is>
          <t xml:space="preserve">2038096161358</t>
        </is>
      </c>
      <c r="Q243" s="3" t="str">
        <f>HYPERLINK("https://modify.by/img/171784443/1.webp","фото")</f>
        <v>фото</v>
      </c>
      <c r="R243" s="3" t="str">
        <f>HYPERLINK("https://modify.by/catalog/kapri/171784443/?utm_source=price&amp;utm_medium=xlsx","открыть")</f>
        <v>открыть</v>
      </c>
    </row>
    <row r="244">
      <c r="A244" t="inlineStr">
        <is>
          <t xml:space="preserve">Женский</t>
        </is>
      </c>
      <c r="B244" t="inlineStr">
        <is>
          <t xml:space="preserve">Капри</t>
        </is>
      </c>
      <c r="C244" t="inlineStr">
        <is>
          <t xml:space="preserve">капри джинсовые на резинке с завязками эластичные</t>
        </is>
      </c>
      <c r="D244" t="inlineStr">
        <is>
          <t xml:space="preserve">CP32W07Темно-синий</t>
        </is>
      </c>
      <c r="E244" t="inlineStr">
        <is>
          <t xml:space="preserve">темно-синий</t>
        </is>
      </c>
      <c r="F244" t="inlineStr">
        <is>
          <t xml:space="preserve">46</t>
        </is>
      </c>
      <c r="G244">
        <v>24</v>
      </c>
      <c r="H244" s="2">
        <v>37.0</v>
      </c>
      <c r="I244" t="inlineStr">
        <is>
          <t xml:space="preserve">Хлопок 65% Полиэстер 33% Эластан 2%</t>
        </is>
      </c>
      <c r="J244"/>
      <c r="K244" t="inlineStr">
        <is>
          <t xml:space="preserve">Бангладеш</t>
        </is>
      </c>
      <c r="L244" t="inlineStr">
        <is>
          <t xml:space="preserve">6104620000</t>
        </is>
      </c>
      <c r="M244" t="inlineStr">
        <is>
          <t xml:space="preserve">Декларация № ЕАЭС № BY/112 11.01. ТР017 122.01 08246, до 19.04.2028</t>
        </is>
      </c>
      <c r="N244" t="inlineStr">
        <is>
          <t xml:space="preserve">33 × 30 × 2</t>
        </is>
      </c>
      <c r="O244" t="inlineStr">
        <is>
          <t xml:space="preserve">0,38</t>
        </is>
      </c>
      <c r="P244" t="inlineStr">
        <is>
          <t xml:space="preserve">4816148110138</t>
        </is>
      </c>
      <c r="Q244" s="3" t="str">
        <f>HYPERLINK("https://modify.by/img/171784443/1.webp","фото")</f>
        <v>фото</v>
      </c>
      <c r="R244" s="3" t="str">
        <f>HYPERLINK("https://modify.by/catalog/kapri/171784443/?utm_source=price&amp;utm_medium=xlsx","открыть")</f>
        <v>открыть</v>
      </c>
    </row>
    <row r="245">
      <c r="A245" t="inlineStr">
        <is>
          <t xml:space="preserve">Женский</t>
        </is>
      </c>
      <c r="B245" t="inlineStr">
        <is>
          <t xml:space="preserve">Капри</t>
        </is>
      </c>
      <c r="C245" t="inlineStr">
        <is>
          <t xml:space="preserve">капри джинсовые на резинке с завязками эластичные</t>
        </is>
      </c>
      <c r="D245" t="inlineStr">
        <is>
          <t xml:space="preserve">CP32W07Темно-синий</t>
        </is>
      </c>
      <c r="E245" t="inlineStr">
        <is>
          <t xml:space="preserve">темно-синий</t>
        </is>
      </c>
      <c r="F245" t="inlineStr">
        <is>
          <t xml:space="preserve">48</t>
        </is>
      </c>
      <c r="G245">
        <v>29</v>
      </c>
      <c r="H245" s="2">
        <v>37.0</v>
      </c>
      <c r="I245" t="inlineStr">
        <is>
          <t xml:space="preserve">Хлопок 65% Полиэстер 33% Эластан 2%</t>
        </is>
      </c>
      <c r="J245"/>
      <c r="K245" t="inlineStr">
        <is>
          <t xml:space="preserve">Бангладеш</t>
        </is>
      </c>
      <c r="L245" t="inlineStr">
        <is>
          <t xml:space="preserve">6104620000</t>
        </is>
      </c>
      <c r="M245" t="inlineStr">
        <is>
          <t xml:space="preserve">Декларация № ЕАЭС № BY/112 11.01. ТР017 122.01 08246, до 19.04.2028</t>
        </is>
      </c>
      <c r="N245" t="inlineStr">
        <is>
          <t xml:space="preserve">33 × 30 × 2</t>
        </is>
      </c>
      <c r="O245" t="inlineStr">
        <is>
          <t xml:space="preserve">0,38</t>
        </is>
      </c>
      <c r="P245" t="inlineStr">
        <is>
          <t xml:space="preserve">2038096161365</t>
        </is>
      </c>
      <c r="Q245" s="3" t="str">
        <f>HYPERLINK("https://modify.by/img/171784443/1.webp","фото")</f>
        <v>фото</v>
      </c>
      <c r="R245" s="3" t="str">
        <f>HYPERLINK("https://modify.by/catalog/kapri/171784443/?utm_source=price&amp;utm_medium=xlsx","открыть")</f>
        <v>открыть</v>
      </c>
    </row>
    <row r="246">
      <c r="A246" t="inlineStr">
        <is>
          <t xml:space="preserve">Женский</t>
        </is>
      </c>
      <c r="B246" t="inlineStr">
        <is>
          <t xml:space="preserve">Капри</t>
        </is>
      </c>
      <c r="C246" t="inlineStr">
        <is>
          <t xml:space="preserve">капри джинсовые на резинке с завязками эластичные</t>
        </is>
      </c>
      <c r="D246" t="inlineStr">
        <is>
          <t xml:space="preserve">CP32W07Темно-синий</t>
        </is>
      </c>
      <c r="E246" t="inlineStr">
        <is>
          <t xml:space="preserve">темно-синий</t>
        </is>
      </c>
      <c r="F246" t="inlineStr">
        <is>
          <t xml:space="preserve">48</t>
        </is>
      </c>
      <c r="G246">
        <v>29</v>
      </c>
      <c r="H246" s="2">
        <v>37.0</v>
      </c>
      <c r="I246" t="inlineStr">
        <is>
          <t xml:space="preserve">Хлопок 65% Полиэстер 33% Эластан 2%</t>
        </is>
      </c>
      <c r="J246"/>
      <c r="K246" t="inlineStr">
        <is>
          <t xml:space="preserve">Бангладеш</t>
        </is>
      </c>
      <c r="L246" t="inlineStr">
        <is>
          <t xml:space="preserve">6104620000</t>
        </is>
      </c>
      <c r="M246" t="inlineStr">
        <is>
          <t xml:space="preserve">Декларация № ЕАЭС № BY/112 11.01. ТР017 122.01 08246, до 19.04.2028</t>
        </is>
      </c>
      <c r="N246" t="inlineStr">
        <is>
          <t xml:space="preserve">33 × 30 × 2</t>
        </is>
      </c>
      <c r="O246" t="inlineStr">
        <is>
          <t xml:space="preserve">0,38</t>
        </is>
      </c>
      <c r="P246" t="inlineStr">
        <is>
          <t xml:space="preserve">4816148110145</t>
        </is>
      </c>
      <c r="Q246" s="3" t="str">
        <f>HYPERLINK("https://modify.by/img/171784443/1.webp","фото")</f>
        <v>фото</v>
      </c>
      <c r="R246" s="3" t="str">
        <f>HYPERLINK("https://modify.by/catalog/kapri/171784443/?utm_source=price&amp;utm_medium=xlsx","открыть")</f>
        <v>открыть</v>
      </c>
    </row>
    <row r="247">
      <c r="A247" t="inlineStr">
        <is>
          <t xml:space="preserve">Женский</t>
        </is>
      </c>
      <c r="B247" t="inlineStr">
        <is>
          <t xml:space="preserve">Кардиганы</t>
        </is>
      </c>
      <c r="C247" t="inlineStr">
        <is>
          <t xml:space="preserve">Джемпер кардиган на пуговицах</t>
        </is>
      </c>
      <c r="D247" t="inlineStr">
        <is>
          <t xml:space="preserve">SW22W15Оранжевый</t>
        </is>
      </c>
      <c r="E247" t="inlineStr">
        <is>
          <t xml:space="preserve">оранжевый</t>
        </is>
      </c>
      <c r="F247" t="inlineStr">
        <is>
          <t xml:space="preserve">52/170</t>
        </is>
      </c>
      <c r="G247">
        <v>1</v>
      </c>
      <c r="H247" s="2">
        <v>21.0</v>
      </c>
      <c r="I247" t="inlineStr">
        <is>
          <t xml:space="preserve">100% хлопок</t>
        </is>
      </c>
      <c r="J247"/>
      <c r="K247" t="inlineStr">
        <is>
          <t xml:space="preserve">Бангладеш</t>
        </is>
      </c>
      <c r="L247" t="inlineStr">
        <is>
          <t xml:space="preserve">6110209900</t>
        </is>
      </c>
      <c r="M247" t="inlineStr">
        <is>
          <t xml:space="preserve">Декларация № ЕАЭС № BY/112 11.01. ТР017 122.01 08246, до 19.04.2028</t>
        </is>
      </c>
      <c r="N247" t="inlineStr">
        <is>
          <t xml:space="preserve">35 × 30 × 4</t>
        </is>
      </c>
      <c r="O247" t="inlineStr">
        <is>
          <t xml:space="preserve">0,5</t>
        </is>
      </c>
      <c r="P247" t="inlineStr">
        <is>
          <t xml:space="preserve">2026620786764</t>
        </is>
      </c>
      <c r="Q247" s="3" t="str">
        <f>HYPERLINK("https://modify.by/img/143421420/1.webp","фото")</f>
        <v>фото</v>
      </c>
      <c r="R247" s="3" t="str">
        <f>HYPERLINK("https://modify.by/catalog/kardigany/143421420/?utm_source=price&amp;utm_medium=xlsx","открыть")</f>
        <v>открыть</v>
      </c>
    </row>
    <row r="248">
      <c r="A248" t="inlineStr">
        <is>
          <t xml:space="preserve">Женский</t>
        </is>
      </c>
      <c r="B248" t="inlineStr">
        <is>
          <t xml:space="preserve">Кардиганы</t>
        </is>
      </c>
      <c r="C248" t="inlineStr">
        <is>
          <t xml:space="preserve">Кардиган ажурной вязки укороченный свободный</t>
        </is>
      </c>
      <c r="D248" t="inlineStr">
        <is>
          <t xml:space="preserve">SW52W02сиреневый</t>
        </is>
      </c>
      <c r="E248" t="inlineStr">
        <is>
          <t xml:space="preserve">сиреневый, лавандовый</t>
        </is>
      </c>
      <c r="F248" t="inlineStr">
        <is>
          <t xml:space="preserve">42</t>
        </is>
      </c>
      <c r="G248">
        <v>9</v>
      </c>
      <c r="H248" s="2">
        <v>40.0</v>
      </c>
      <c r="I248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248"/>
      <c r="K248" t="inlineStr">
        <is>
          <t xml:space="preserve">Бангладеш</t>
        </is>
      </c>
      <c r="L248" t="inlineStr">
        <is>
          <t xml:space="preserve">6110309900</t>
        </is>
      </c>
      <c r="M248" t="inlineStr">
        <is>
          <t xml:space="preserve">Декларация № ЕАЭС № BY/112 11.01. ТР017 122.01 08246, до 19.04.2028</t>
        </is>
      </c>
      <c r="N248" t="inlineStr">
        <is>
          <t xml:space="preserve">33 × 28 × 4</t>
        </is>
      </c>
      <c r="O248" t="inlineStr">
        <is>
          <t xml:space="preserve">0,6</t>
        </is>
      </c>
      <c r="P248" t="inlineStr">
        <is>
          <t xml:space="preserve">4816148164452</t>
        </is>
      </c>
      <c r="Q248" s="3" t="str">
        <f>HYPERLINK("https://modify.by/img/358528924/1.webp","фото")</f>
        <v>фото</v>
      </c>
      <c r="R248" s="3" t="str">
        <f>HYPERLINK("https://modify.by/catalog/kardigany/358528924/?utm_source=price&amp;utm_medium=xlsx","открыть")</f>
        <v>открыть</v>
      </c>
    </row>
    <row r="249">
      <c r="A249" t="inlineStr">
        <is>
          <t xml:space="preserve">Женский</t>
        </is>
      </c>
      <c r="B249" t="inlineStr">
        <is>
          <t xml:space="preserve">Кардиганы</t>
        </is>
      </c>
      <c r="C249" t="inlineStr">
        <is>
          <t xml:space="preserve">Кардиган ажурной вязки укороченный свободный</t>
        </is>
      </c>
      <c r="D249" t="inlineStr">
        <is>
          <t xml:space="preserve">SW52W02сиреневый</t>
        </is>
      </c>
      <c r="E249" t="inlineStr">
        <is>
          <t xml:space="preserve">сиреневый, лавандовый</t>
        </is>
      </c>
      <c r="F249" t="inlineStr">
        <is>
          <t xml:space="preserve">44</t>
        </is>
      </c>
      <c r="G249">
        <v>26</v>
      </c>
      <c r="H249" s="2">
        <v>40.0</v>
      </c>
      <c r="I249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249"/>
      <c r="K249" t="inlineStr">
        <is>
          <t xml:space="preserve">Бангладеш</t>
        </is>
      </c>
      <c r="L249" t="inlineStr">
        <is>
          <t xml:space="preserve">6110309900</t>
        </is>
      </c>
      <c r="M249" t="inlineStr">
        <is>
          <t xml:space="preserve">Декларация № ЕАЭС № BY/112 11.01. ТР017 122.01 08246, до 19.04.2028</t>
        </is>
      </c>
      <c r="N249" t="inlineStr">
        <is>
          <t xml:space="preserve">33 × 28 × 4</t>
        </is>
      </c>
      <c r="O249" t="inlineStr">
        <is>
          <t xml:space="preserve">0,6</t>
        </is>
      </c>
      <c r="P249" t="inlineStr">
        <is>
          <t xml:space="preserve">4816148163639</t>
        </is>
      </c>
      <c r="Q249" s="3" t="str">
        <f>HYPERLINK("https://modify.by/img/358528924/1.webp","фото")</f>
        <v>фото</v>
      </c>
      <c r="R249" s="3" t="str">
        <f>HYPERLINK("https://modify.by/catalog/kardigany/358528924/?utm_source=price&amp;utm_medium=xlsx","открыть")</f>
        <v>открыть</v>
      </c>
    </row>
    <row r="250">
      <c r="A250" t="inlineStr">
        <is>
          <t xml:space="preserve">Женский</t>
        </is>
      </c>
      <c r="B250" t="inlineStr">
        <is>
          <t xml:space="preserve">Кардиганы</t>
        </is>
      </c>
      <c r="C250" t="inlineStr">
        <is>
          <t xml:space="preserve">Кардиган ажурной вязки укороченный свободный</t>
        </is>
      </c>
      <c r="D250" t="inlineStr">
        <is>
          <t xml:space="preserve">SW52W02сиреневый</t>
        </is>
      </c>
      <c r="E250" t="inlineStr">
        <is>
          <t xml:space="preserve">сиреневый, лавандовый</t>
        </is>
      </c>
      <c r="F250" t="inlineStr">
        <is>
          <t xml:space="preserve">46</t>
        </is>
      </c>
      <c r="G250">
        <v>41</v>
      </c>
      <c r="H250" s="2">
        <v>40.0</v>
      </c>
      <c r="I250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250"/>
      <c r="K250" t="inlineStr">
        <is>
          <t xml:space="preserve">Бангладеш</t>
        </is>
      </c>
      <c r="L250" t="inlineStr">
        <is>
          <t xml:space="preserve">6110309900</t>
        </is>
      </c>
      <c r="M250" t="inlineStr">
        <is>
          <t xml:space="preserve">Декларация № ЕАЭС № BY/112 11.01. ТР017 122.01 08246, до 19.04.2028</t>
        </is>
      </c>
      <c r="N250" t="inlineStr">
        <is>
          <t xml:space="preserve">33 × 28 × 4</t>
        </is>
      </c>
      <c r="O250" t="inlineStr">
        <is>
          <t xml:space="preserve">0,6</t>
        </is>
      </c>
      <c r="P250" t="inlineStr">
        <is>
          <t xml:space="preserve">4816148163646</t>
        </is>
      </c>
      <c r="Q250" s="3" t="str">
        <f>HYPERLINK("https://modify.by/img/358528924/1.webp","фото")</f>
        <v>фото</v>
      </c>
      <c r="R250" s="3" t="str">
        <f>HYPERLINK("https://modify.by/catalog/kardigany/358528924/?utm_source=price&amp;utm_medium=xlsx","открыть")</f>
        <v>открыть</v>
      </c>
    </row>
    <row r="251">
      <c r="A251" t="inlineStr">
        <is>
          <t xml:space="preserve">Женский</t>
        </is>
      </c>
      <c r="B251" t="inlineStr">
        <is>
          <t xml:space="preserve">Кардиганы</t>
        </is>
      </c>
      <c r="C251" t="inlineStr">
        <is>
          <t xml:space="preserve">Кардиган ажурной вязки укороченный свободный</t>
        </is>
      </c>
      <c r="D251" t="inlineStr">
        <is>
          <t xml:space="preserve">SW52W02сиреневый</t>
        </is>
      </c>
      <c r="E251" t="inlineStr">
        <is>
          <t xml:space="preserve">сиреневый, лавандовый</t>
        </is>
      </c>
      <c r="F251" t="inlineStr">
        <is>
          <t xml:space="preserve">48</t>
        </is>
      </c>
      <c r="G251">
        <v>29</v>
      </c>
      <c r="H251" s="2">
        <v>40.0</v>
      </c>
      <c r="I251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251"/>
      <c r="K251" t="inlineStr">
        <is>
          <t xml:space="preserve">Бангладеш</t>
        </is>
      </c>
      <c r="L251" t="inlineStr">
        <is>
          <t xml:space="preserve">6110309900</t>
        </is>
      </c>
      <c r="M251" t="inlineStr">
        <is>
          <t xml:space="preserve">Декларация № ЕАЭС № BY/112 11.01. ТР017 122.01 08246, до 19.04.2028</t>
        </is>
      </c>
      <c r="N251" t="inlineStr">
        <is>
          <t xml:space="preserve">33 × 28 × 4</t>
        </is>
      </c>
      <c r="O251" t="inlineStr">
        <is>
          <t xml:space="preserve">0,6</t>
        </is>
      </c>
      <c r="P251" t="inlineStr">
        <is>
          <t xml:space="preserve">4816148163653</t>
        </is>
      </c>
      <c r="Q251" s="3" t="str">
        <f>HYPERLINK("https://modify.by/img/358528924/1.webp","фото")</f>
        <v>фото</v>
      </c>
      <c r="R251" s="3" t="str">
        <f>HYPERLINK("https://modify.by/catalog/kardigany/358528924/?utm_source=price&amp;utm_medium=xlsx","открыть")</f>
        <v>открыть</v>
      </c>
    </row>
    <row r="252">
      <c r="A252" t="inlineStr">
        <is>
          <t xml:space="preserve">Женский</t>
        </is>
      </c>
      <c r="B252" t="inlineStr">
        <is>
          <t xml:space="preserve">Кардиганы</t>
        </is>
      </c>
      <c r="C252" t="inlineStr">
        <is>
          <t xml:space="preserve">Кардиган теплый вязаный удлиненный, розово-коричневый</t>
        </is>
      </c>
      <c r="D252" t="inlineStr">
        <is>
          <t xml:space="preserve">CA62W02темно-розовый</t>
        </is>
      </c>
      <c r="E252" t="inlineStr">
        <is>
          <t xml:space="preserve">розово-коричневый, пыльная роза</t>
        </is>
      </c>
      <c r="F252" t="inlineStr">
        <is>
          <t xml:space="preserve">42</t>
        </is>
      </c>
      <c r="G252">
        <v>42</v>
      </c>
      <c r="H252" s="2">
        <v>29.0</v>
      </c>
      <c r="I252" t="inlineStr">
        <is>
          <t xml:space="preserve">вискоза 50%, ПЭ 27%, нейлон 23%</t>
        </is>
      </c>
      <c r="J252"/>
      <c r="K252"/>
      <c r="L252" t="inlineStr">
        <is>
          <t xml:space="preserve">6110309900</t>
        </is>
      </c>
      <c r="M252" t="inlineStr">
        <is>
          <t xml:space="preserve">Декларация № ЕАЭС № BY/112 11.01. ТР017 122.01 08246, до 19.04.2028</t>
        </is>
      </c>
      <c r="N252" t="inlineStr">
        <is>
          <t xml:space="preserve">33 × 30 × 3</t>
        </is>
      </c>
      <c r="O252" t="inlineStr">
        <is>
          <t xml:space="preserve">0,37</t>
        </is>
      </c>
      <c r="P252" t="inlineStr">
        <is>
          <t xml:space="preserve">4816148172860</t>
        </is>
      </c>
      <c r="Q252" s="3" t="str">
        <f>HYPERLINK("https://modify.by/img/663962171/1.webp","фото")</f>
        <v>фото</v>
      </c>
      <c r="R252" s="3" t="str">
        <f>HYPERLINK("https://modify.by/catalog/kardigany/663962171/?utm_source=price&amp;utm_medium=xlsx","открыть")</f>
        <v>открыть</v>
      </c>
    </row>
    <row r="253">
      <c r="A253" t="inlineStr">
        <is>
          <t xml:space="preserve">Женский</t>
        </is>
      </c>
      <c r="B253" t="inlineStr">
        <is>
          <t xml:space="preserve">Кардиганы</t>
        </is>
      </c>
      <c r="C253" t="inlineStr">
        <is>
          <t xml:space="preserve">Кардиган теплый вязаный удлиненный, розово-коричневый</t>
        </is>
      </c>
      <c r="D253" t="inlineStr">
        <is>
          <t xml:space="preserve">CA62W02темно-розовый</t>
        </is>
      </c>
      <c r="E253" t="inlineStr">
        <is>
          <t xml:space="preserve">розово-коричневый, пыльная роза</t>
        </is>
      </c>
      <c r="F253" t="inlineStr">
        <is>
          <t xml:space="preserve">44</t>
        </is>
      </c>
      <c r="G253">
        <v>33</v>
      </c>
      <c r="H253" s="2">
        <v>29.0</v>
      </c>
      <c r="I253" t="inlineStr">
        <is>
          <t xml:space="preserve">вискоза 50%, ПЭ 27%, нейлон 23%</t>
        </is>
      </c>
      <c r="J253"/>
      <c r="K253"/>
      <c r="L253" t="inlineStr">
        <is>
          <t xml:space="preserve">6110309900</t>
        </is>
      </c>
      <c r="M253" t="inlineStr">
        <is>
          <t xml:space="preserve">Декларация № ЕАЭС № BY/112 11.01. ТР017 122.01 08246, до 19.04.2028</t>
        </is>
      </c>
      <c r="N253" t="inlineStr">
        <is>
          <t xml:space="preserve">33 × 30 × 3</t>
        </is>
      </c>
      <c r="O253" t="inlineStr">
        <is>
          <t xml:space="preserve">0,37</t>
        </is>
      </c>
      <c r="P253" t="inlineStr">
        <is>
          <t xml:space="preserve">4816148172877</t>
        </is>
      </c>
      <c r="Q253" s="3" t="str">
        <f>HYPERLINK("https://modify.by/img/663962171/1.webp","фото")</f>
        <v>фото</v>
      </c>
      <c r="R253" s="3" t="str">
        <f>HYPERLINK("https://modify.by/catalog/kardigany/663962171/?utm_source=price&amp;utm_medium=xlsx","открыть")</f>
        <v>открыть</v>
      </c>
    </row>
    <row r="254">
      <c r="A254" t="inlineStr">
        <is>
          <t xml:space="preserve">Женский</t>
        </is>
      </c>
      <c r="B254" t="inlineStr">
        <is>
          <t xml:space="preserve">Кардиганы</t>
        </is>
      </c>
      <c r="C254" t="inlineStr">
        <is>
          <t xml:space="preserve">Кардиган теплый вязаный удлиненный, светло-зеленый</t>
        </is>
      </c>
      <c r="D254" t="inlineStr">
        <is>
          <t xml:space="preserve">CA62W02зеленый</t>
        </is>
      </c>
      <c r="E254" t="inlineStr">
        <is>
          <t xml:space="preserve">светло-зеленый, мятный</t>
        </is>
      </c>
      <c r="F254" t="inlineStr">
        <is>
          <t xml:space="preserve">42</t>
        </is>
      </c>
      <c r="G254">
        <v>104</v>
      </c>
      <c r="H254" s="2">
        <v>29.0</v>
      </c>
      <c r="I254" t="inlineStr">
        <is>
          <t xml:space="preserve">вискоза 50%, ПЭ 27%, нейлон 23%</t>
        </is>
      </c>
      <c r="J254"/>
      <c r="K254"/>
      <c r="L254" t="inlineStr">
        <is>
          <t xml:space="preserve">6110309900</t>
        </is>
      </c>
      <c r="M254" t="inlineStr">
        <is>
          <t xml:space="preserve">Декларация № ЕАЭС № BY/112 11.01. ТР017 122.01 08246, до 19.04.2028</t>
        </is>
      </c>
      <c r="N254" t="inlineStr">
        <is>
          <t xml:space="preserve">33 × 30 × 3</t>
        </is>
      </c>
      <c r="O254" t="inlineStr">
        <is>
          <t xml:space="preserve">0,37</t>
        </is>
      </c>
      <c r="P254" t="inlineStr">
        <is>
          <t xml:space="preserve">4816148172761</t>
        </is>
      </c>
      <c r="Q254" s="3" t="str">
        <f>HYPERLINK("https://modify.by/img/668739383/1.webp","фото")</f>
        <v>фото</v>
      </c>
      <c r="R254" s="3" t="str">
        <f>HYPERLINK("https://modify.by/catalog/kardigany/668739383/?utm_source=price&amp;utm_medium=xlsx","открыть")</f>
        <v>открыть</v>
      </c>
    </row>
    <row r="255">
      <c r="A255" t="inlineStr">
        <is>
          <t xml:space="preserve">Женский</t>
        </is>
      </c>
      <c r="B255" t="inlineStr">
        <is>
          <t xml:space="preserve">Кардиганы</t>
        </is>
      </c>
      <c r="C255" t="inlineStr">
        <is>
          <t xml:space="preserve">Кардиган теплый вязаный удлиненный, светло-зеленый</t>
        </is>
      </c>
      <c r="D255" t="inlineStr">
        <is>
          <t xml:space="preserve">CA62W02зеленый</t>
        </is>
      </c>
      <c r="E255" t="inlineStr">
        <is>
          <t xml:space="preserve">светло-зеленый, мятный</t>
        </is>
      </c>
      <c r="F255" t="inlineStr">
        <is>
          <t xml:space="preserve">44</t>
        </is>
      </c>
      <c r="G255">
        <v>28</v>
      </c>
      <c r="H255" s="2">
        <v>29.0</v>
      </c>
      <c r="I255" t="inlineStr">
        <is>
          <t xml:space="preserve">вискоза 50%, ПЭ 27%, нейлон 23%</t>
        </is>
      </c>
      <c r="J255"/>
      <c r="K255"/>
      <c r="L255" t="inlineStr">
        <is>
          <t xml:space="preserve">6110309900</t>
        </is>
      </c>
      <c r="M255" t="inlineStr">
        <is>
          <t xml:space="preserve">Декларация № ЕАЭС № BY/112 11.01. ТР017 122.01 08246, до 19.04.2028</t>
        </is>
      </c>
      <c r="N255" t="inlineStr">
        <is>
          <t xml:space="preserve">33 × 30 × 3</t>
        </is>
      </c>
      <c r="O255" t="inlineStr">
        <is>
          <t xml:space="preserve">0,37</t>
        </is>
      </c>
      <c r="P255" t="inlineStr">
        <is>
          <t xml:space="preserve">4816148172778</t>
        </is>
      </c>
      <c r="Q255" s="3" t="str">
        <f>HYPERLINK("https://modify.by/img/668739383/1.webp","фото")</f>
        <v>фото</v>
      </c>
      <c r="R255" s="3" t="str">
        <f>HYPERLINK("https://modify.by/catalog/kardigany/668739383/?utm_source=price&amp;utm_medium=xlsx","открыть")</f>
        <v>открыть</v>
      </c>
    </row>
    <row r="256">
      <c r="A256" t="inlineStr">
        <is>
          <t xml:space="preserve">Женский</t>
        </is>
      </c>
      <c r="B256" t="inlineStr">
        <is>
          <t xml:space="preserve">Кардиганы</t>
        </is>
      </c>
      <c r="C256" t="inlineStr">
        <is>
          <t xml:space="preserve">Кардиган теплый вязаный удлиненный, серый меланж</t>
        </is>
      </c>
      <c r="D256" t="inlineStr">
        <is>
          <t xml:space="preserve">CA62W02серый,черный</t>
        </is>
      </c>
      <c r="E256" t="inlineStr">
        <is>
          <t xml:space="preserve">серый меланж, черный</t>
        </is>
      </c>
      <c r="F256" t="inlineStr">
        <is>
          <t xml:space="preserve">40</t>
        </is>
      </c>
      <c r="G256">
        <v>5</v>
      </c>
      <c r="H256" s="2">
        <v>29.0</v>
      </c>
      <c r="I256" t="inlineStr">
        <is>
          <t xml:space="preserve">вискоза 50%, ПЭ 27%, нейлон 23%</t>
        </is>
      </c>
      <c r="J256"/>
      <c r="K256"/>
      <c r="L256" t="inlineStr">
        <is>
          <t xml:space="preserve">6110309900</t>
        </is>
      </c>
      <c r="M256" t="inlineStr">
        <is>
          <t xml:space="preserve">Декларация № ЕАЭС № BY/112 11.01. ТР017 122.01 08246, до 19.04.2028</t>
        </is>
      </c>
      <c r="N256" t="inlineStr">
        <is>
          <t xml:space="preserve">33 × 30 × 3</t>
        </is>
      </c>
      <c r="O256" t="inlineStr">
        <is>
          <t xml:space="preserve">0,37</t>
        </is>
      </c>
      <c r="P256" t="inlineStr">
        <is>
          <t xml:space="preserve">4816148173720</t>
        </is>
      </c>
      <c r="Q256" s="3" t="str">
        <f>HYPERLINK("https://modify.by/img/664787771/1.webp","фото")</f>
        <v>фото</v>
      </c>
      <c r="R256" s="3" t="str">
        <f>HYPERLINK("https://modify.by/catalog/kardigany/664787771/?utm_source=price&amp;utm_medium=xlsx","открыть")</f>
        <v>открыть</v>
      </c>
    </row>
    <row r="257">
      <c r="A257" t="inlineStr">
        <is>
          <t xml:space="preserve">Женский</t>
        </is>
      </c>
      <c r="B257" t="inlineStr">
        <is>
          <t xml:space="preserve">Кардиганы</t>
        </is>
      </c>
      <c r="C257" t="inlineStr">
        <is>
          <t xml:space="preserve">Кардиган теплый вязаный удлиненный, серый меланж</t>
        </is>
      </c>
      <c r="D257" t="inlineStr">
        <is>
          <t xml:space="preserve">CA62W02серый,черный</t>
        </is>
      </c>
      <c r="E257" t="inlineStr">
        <is>
          <t xml:space="preserve">серый меланж, черный</t>
        </is>
      </c>
      <c r="F257" t="inlineStr">
        <is>
          <t xml:space="preserve">42</t>
        </is>
      </c>
      <c r="G257">
        <v>24</v>
      </c>
      <c r="H257" s="2">
        <v>29.0</v>
      </c>
      <c r="I257" t="inlineStr">
        <is>
          <t xml:space="preserve">вискоза 50%, ПЭ 27%, нейлон 23%</t>
        </is>
      </c>
      <c r="J257"/>
      <c r="K257"/>
      <c r="L257" t="inlineStr">
        <is>
          <t xml:space="preserve">6110309900</t>
        </is>
      </c>
      <c r="M257" t="inlineStr">
        <is>
          <t xml:space="preserve">Декларация № ЕАЭС № BY/112 11.01. ТР017 122.01 08246, до 19.04.2028</t>
        </is>
      </c>
      <c r="N257" t="inlineStr">
        <is>
          <t xml:space="preserve">33 × 30 × 3</t>
        </is>
      </c>
      <c r="O257" t="inlineStr">
        <is>
          <t xml:space="preserve">0,37</t>
        </is>
      </c>
      <c r="P257" t="inlineStr">
        <is>
          <t xml:space="preserve">4816148172914</t>
        </is>
      </c>
      <c r="Q257" s="3" t="str">
        <f>HYPERLINK("https://modify.by/img/664787771/1.webp","фото")</f>
        <v>фото</v>
      </c>
      <c r="R257" s="3" t="str">
        <f>HYPERLINK("https://modify.by/catalog/kardigany/664787771/?utm_source=price&amp;utm_medium=xlsx","открыть")</f>
        <v>открыть</v>
      </c>
    </row>
    <row r="258">
      <c r="A258" t="inlineStr">
        <is>
          <t xml:space="preserve">Женский</t>
        </is>
      </c>
      <c r="B258" t="inlineStr">
        <is>
          <t xml:space="preserve">Кардиганы</t>
        </is>
      </c>
      <c r="C258" t="inlineStr">
        <is>
          <t xml:space="preserve">Кардиган теплый вязаный удлиненный, серый меланж</t>
        </is>
      </c>
      <c r="D258" t="inlineStr">
        <is>
          <t xml:space="preserve">CA62W02серый,черный</t>
        </is>
      </c>
      <c r="E258" t="inlineStr">
        <is>
          <t xml:space="preserve">серый меланж, черный</t>
        </is>
      </c>
      <c r="F258" t="inlineStr">
        <is>
          <t xml:space="preserve">44</t>
        </is>
      </c>
      <c r="G258">
        <v>26</v>
      </c>
      <c r="H258" s="2">
        <v>29.0</v>
      </c>
      <c r="I258" t="inlineStr">
        <is>
          <t xml:space="preserve">вискоза 50%, ПЭ 27%, нейлон 23%</t>
        </is>
      </c>
      <c r="J258"/>
      <c r="K258"/>
      <c r="L258" t="inlineStr">
        <is>
          <t xml:space="preserve">6110309900</t>
        </is>
      </c>
      <c r="M258" t="inlineStr">
        <is>
          <t xml:space="preserve">Декларация № ЕАЭС № BY/112 11.01. ТР017 122.01 08246, до 19.04.2028</t>
        </is>
      </c>
      <c r="N258" t="inlineStr">
        <is>
          <t xml:space="preserve">33 × 30 × 3</t>
        </is>
      </c>
      <c r="O258" t="inlineStr">
        <is>
          <t xml:space="preserve">0,37</t>
        </is>
      </c>
      <c r="P258" t="inlineStr">
        <is>
          <t xml:space="preserve">4816148172921</t>
        </is>
      </c>
      <c r="Q258" s="3" t="str">
        <f>HYPERLINK("https://modify.by/img/664787771/1.webp","фото")</f>
        <v>фото</v>
      </c>
      <c r="R258" s="3" t="str">
        <f>HYPERLINK("https://modify.by/catalog/kardigany/664787771/?utm_source=price&amp;utm_medium=xlsx","открыть")</f>
        <v>открыть</v>
      </c>
    </row>
    <row r="259">
      <c r="A259" t="inlineStr">
        <is>
          <t xml:space="preserve">Женский</t>
        </is>
      </c>
      <c r="B259" t="inlineStr">
        <is>
          <t xml:space="preserve">Кардиганы</t>
        </is>
      </c>
      <c r="C259" t="inlineStr">
        <is>
          <t xml:space="preserve">Кардиган теплый вязаный удлиненный, серый меланж</t>
        </is>
      </c>
      <c r="D259" t="inlineStr">
        <is>
          <t xml:space="preserve">CA62W02серый,черный</t>
        </is>
      </c>
      <c r="E259" t="inlineStr">
        <is>
          <t xml:space="preserve">серый меланж, черный</t>
        </is>
      </c>
      <c r="F259" t="inlineStr">
        <is>
          <t xml:space="preserve">46</t>
        </is>
      </c>
      <c r="G259">
        <v>7</v>
      </c>
      <c r="H259" s="2">
        <v>29.0</v>
      </c>
      <c r="I259" t="inlineStr">
        <is>
          <t xml:space="preserve">вискоза 50%, ПЭ 27%, нейлон 23%</t>
        </is>
      </c>
      <c r="J259"/>
      <c r="K259"/>
      <c r="L259" t="inlineStr">
        <is>
          <t xml:space="preserve">6110309900</t>
        </is>
      </c>
      <c r="M259" t="inlineStr">
        <is>
          <t xml:space="preserve">Декларация № ЕАЭС № BY/112 11.01. ТР017 122.01 08246, до 19.04.2028</t>
        </is>
      </c>
      <c r="N259" t="inlineStr">
        <is>
          <t xml:space="preserve">33 × 30 × 3</t>
        </is>
      </c>
      <c r="O259" t="inlineStr">
        <is>
          <t xml:space="preserve">0,37</t>
        </is>
      </c>
      <c r="P259" t="inlineStr">
        <is>
          <t xml:space="preserve">4816148172938</t>
        </is>
      </c>
      <c r="Q259" s="3" t="str">
        <f>HYPERLINK("https://modify.by/img/664787771/1.webp","фото")</f>
        <v>фото</v>
      </c>
      <c r="R259" s="3" t="str">
        <f>HYPERLINK("https://modify.by/catalog/kardigany/664787771/?utm_source=price&amp;utm_medium=xlsx","открыть")</f>
        <v>открыть</v>
      </c>
    </row>
    <row r="260">
      <c r="A260" t="inlineStr">
        <is>
          <t xml:space="preserve">Женский</t>
        </is>
      </c>
      <c r="B260" t="inlineStr">
        <is>
          <t xml:space="preserve">Кардиганы</t>
        </is>
      </c>
      <c r="C260" t="inlineStr">
        <is>
          <t xml:space="preserve">Кардиган теплый вязаный удлиненный, серый меланж</t>
        </is>
      </c>
      <c r="D260" t="inlineStr">
        <is>
          <t xml:space="preserve">CA62W02серый,черный</t>
        </is>
      </c>
      <c r="E260" t="inlineStr">
        <is>
          <t xml:space="preserve">серый меланж, черный</t>
        </is>
      </c>
      <c r="F260" t="inlineStr">
        <is>
          <t xml:space="preserve">48</t>
        </is>
      </c>
      <c r="G260">
        <v>2</v>
      </c>
      <c r="H260" s="2">
        <v>29.0</v>
      </c>
      <c r="I260" t="inlineStr">
        <is>
          <t xml:space="preserve">вискоза 50%, ПЭ 27%, нейлон 23%</t>
        </is>
      </c>
      <c r="J260"/>
      <c r="K260"/>
      <c r="L260" t="inlineStr">
        <is>
          <t xml:space="preserve">6110309900</t>
        </is>
      </c>
      <c r="M260" t="inlineStr">
        <is>
          <t xml:space="preserve">Декларация № ЕАЭС № BY/112 11.01. ТР017 122.01 08246, до 19.04.2028</t>
        </is>
      </c>
      <c r="N260" t="inlineStr">
        <is>
          <t xml:space="preserve">33 × 30 × 3</t>
        </is>
      </c>
      <c r="O260" t="inlineStr">
        <is>
          <t xml:space="preserve">0,37</t>
        </is>
      </c>
      <c r="P260" t="inlineStr">
        <is>
          <t xml:space="preserve">4816148172945</t>
        </is>
      </c>
      <c r="Q260" s="3" t="str">
        <f>HYPERLINK("https://modify.by/img/664787771/1.webp","фото")</f>
        <v>фото</v>
      </c>
      <c r="R260" s="3" t="str">
        <f>HYPERLINK("https://modify.by/catalog/kardigany/664787771/?utm_source=price&amp;utm_medium=xlsx","открыть")</f>
        <v>открыть</v>
      </c>
    </row>
    <row r="261">
      <c r="A261" t="inlineStr">
        <is>
          <t xml:space="preserve">Женский</t>
        </is>
      </c>
      <c r="B261" t="inlineStr">
        <is>
          <t xml:space="preserve">Кардиганы</t>
        </is>
      </c>
      <c r="C261" t="inlineStr">
        <is>
          <t xml:space="preserve">Кардиган теплый вязаный удлиненный, черный</t>
        </is>
      </c>
      <c r="D261" t="inlineStr">
        <is>
          <t xml:space="preserve">CA62W02черный</t>
        </is>
      </c>
      <c r="E261" t="inlineStr">
        <is>
          <t xml:space="preserve">черный</t>
        </is>
      </c>
      <c r="F261" t="inlineStr">
        <is>
          <t xml:space="preserve">42</t>
        </is>
      </c>
      <c r="G261">
        <v>5</v>
      </c>
      <c r="H261" s="2">
        <v>29.0</v>
      </c>
      <c r="I261" t="inlineStr">
        <is>
          <t xml:space="preserve">вискоза 50%, ПЭ 27%, нейлон 23%</t>
        </is>
      </c>
      <c r="J261"/>
      <c r="K261"/>
      <c r="L261" t="inlineStr">
        <is>
          <t xml:space="preserve">6110309900</t>
        </is>
      </c>
      <c r="M261" t="inlineStr">
        <is>
          <t xml:space="preserve">Декларация № ЕАЭС № BY/112 11.01. ТР017 122.01 08246, до 19.04.2028</t>
        </is>
      </c>
      <c r="N261" t="inlineStr">
        <is>
          <t xml:space="preserve">33 × 30 × 3</t>
        </is>
      </c>
      <c r="O261" t="inlineStr">
        <is>
          <t xml:space="preserve">0,37</t>
        </is>
      </c>
      <c r="P261" t="inlineStr">
        <is>
          <t xml:space="preserve">4816148172815</t>
        </is>
      </c>
      <c r="Q261" s="3" t="str">
        <f>HYPERLINK("https://modify.by/img/670402853/1.webp","фото")</f>
        <v>фото</v>
      </c>
      <c r="R261" s="3" t="str">
        <f>HYPERLINK("https://modify.by/catalog/kardigany/670402853/?utm_source=price&amp;utm_medium=xlsx","открыть")</f>
        <v>открыть</v>
      </c>
    </row>
    <row r="262">
      <c r="A262" t="inlineStr">
        <is>
          <t xml:space="preserve">Женский</t>
        </is>
      </c>
      <c r="B262" t="inlineStr">
        <is>
          <t xml:space="preserve">Кардиганы</t>
        </is>
      </c>
      <c r="C262" t="inlineStr">
        <is>
          <t xml:space="preserve">Кофта кардиган ажурной вязки укороченный свободный</t>
        </is>
      </c>
      <c r="D262" t="inlineStr">
        <is>
          <t xml:space="preserve">SW52W02мятный</t>
        </is>
      </c>
      <c r="E262" t="inlineStr">
        <is>
          <t xml:space="preserve">мятный</t>
        </is>
      </c>
      <c r="F262" t="inlineStr">
        <is>
          <t xml:space="preserve">44</t>
        </is>
      </c>
      <c r="G262">
        <v>30</v>
      </c>
      <c r="H262" s="2">
        <v>40.0</v>
      </c>
      <c r="I262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262"/>
      <c r="K262" t="inlineStr">
        <is>
          <t xml:space="preserve">Бангладеш</t>
        </is>
      </c>
      <c r="L262" t="inlineStr">
        <is>
          <t xml:space="preserve">6110309900</t>
        </is>
      </c>
      <c r="M262" t="inlineStr">
        <is>
          <t xml:space="preserve">Декларация № ЕАЭС № BY/112 11.01. ТР017 122.01 08246, до 19.04.2028</t>
        </is>
      </c>
      <c r="N262" t="inlineStr">
        <is>
          <t xml:space="preserve">33 × 28 × 5</t>
        </is>
      </c>
      <c r="O262" t="inlineStr">
        <is>
          <t xml:space="preserve">0,6</t>
        </is>
      </c>
      <c r="P262" t="inlineStr">
        <is>
          <t xml:space="preserve">4816148163578</t>
        </is>
      </c>
      <c r="Q262" s="3" t="str">
        <f>HYPERLINK("https://modify.by/img/358528919/1.webp","фото")</f>
        <v>фото</v>
      </c>
      <c r="R262" s="3" t="str">
        <f>HYPERLINK("https://modify.by/catalog/kardigany/358528919/?utm_source=price&amp;utm_medium=xlsx","открыть")</f>
        <v>открыть</v>
      </c>
    </row>
    <row r="263">
      <c r="A263" t="inlineStr">
        <is>
          <t xml:space="preserve">Женский</t>
        </is>
      </c>
      <c r="B263" t="inlineStr">
        <is>
          <t xml:space="preserve">Кардиганы</t>
        </is>
      </c>
      <c r="C263" t="inlineStr">
        <is>
          <t xml:space="preserve">Кофта кардиган ажурной вязки укороченный свободный</t>
        </is>
      </c>
      <c r="D263" t="inlineStr">
        <is>
          <t xml:space="preserve">SW52W02мятный</t>
        </is>
      </c>
      <c r="E263" t="inlineStr">
        <is>
          <t xml:space="preserve">мятный</t>
        </is>
      </c>
      <c r="F263" t="inlineStr">
        <is>
          <t xml:space="preserve">46</t>
        </is>
      </c>
      <c r="G263">
        <v>27</v>
      </c>
      <c r="H263" s="2">
        <v>40.0</v>
      </c>
      <c r="I263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263"/>
      <c r="K263" t="inlineStr">
        <is>
          <t xml:space="preserve">Бангладеш</t>
        </is>
      </c>
      <c r="L263" t="inlineStr">
        <is>
          <t xml:space="preserve">6110309900</t>
        </is>
      </c>
      <c r="M263" t="inlineStr">
        <is>
          <t xml:space="preserve">Декларация № ЕАЭС № BY/112 11.01. ТР017 122.01 08246, до 19.04.2028</t>
        </is>
      </c>
      <c r="N263" t="inlineStr">
        <is>
          <t xml:space="preserve">33 × 28 × 5</t>
        </is>
      </c>
      <c r="O263" t="inlineStr">
        <is>
          <t xml:space="preserve">0,6</t>
        </is>
      </c>
      <c r="P263" t="inlineStr">
        <is>
          <t xml:space="preserve">4816148163585</t>
        </is>
      </c>
      <c r="Q263" s="3" t="str">
        <f>HYPERLINK("https://modify.by/img/358528919/1.webp","фото")</f>
        <v>фото</v>
      </c>
      <c r="R263" s="3" t="str">
        <f>HYPERLINK("https://modify.by/catalog/kardigany/358528919/?utm_source=price&amp;utm_medium=xlsx","открыть")</f>
        <v>открыть</v>
      </c>
    </row>
    <row r="264">
      <c r="A264" t="inlineStr">
        <is>
          <t xml:space="preserve">Женский</t>
        </is>
      </c>
      <c r="B264" t="inlineStr">
        <is>
          <t xml:space="preserve">Кардиганы</t>
        </is>
      </c>
      <c r="C264" t="inlineStr">
        <is>
          <t xml:space="preserve">Кофта кардиган ажурной вязки укороченный свободный</t>
        </is>
      </c>
      <c r="D264" t="inlineStr">
        <is>
          <t xml:space="preserve">SW52W02мятный</t>
        </is>
      </c>
      <c r="E264" t="inlineStr">
        <is>
          <t xml:space="preserve">мятный</t>
        </is>
      </c>
      <c r="F264" t="inlineStr">
        <is>
          <t xml:space="preserve">48</t>
        </is>
      </c>
      <c r="G264">
        <v>25</v>
      </c>
      <c r="H264" s="2">
        <v>40.0</v>
      </c>
      <c r="I264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264"/>
      <c r="K264" t="inlineStr">
        <is>
          <t xml:space="preserve">Бангладеш</t>
        </is>
      </c>
      <c r="L264" t="inlineStr">
        <is>
          <t xml:space="preserve">6110309900</t>
        </is>
      </c>
      <c r="M264" t="inlineStr">
        <is>
          <t xml:space="preserve">Декларация № ЕАЭС № BY/112 11.01. ТР017 122.01 08246, до 19.04.2028</t>
        </is>
      </c>
      <c r="N264" t="inlineStr">
        <is>
          <t xml:space="preserve">33 × 28 × 5</t>
        </is>
      </c>
      <c r="O264" t="inlineStr">
        <is>
          <t xml:space="preserve">0,6</t>
        </is>
      </c>
      <c r="P264" t="inlineStr">
        <is>
          <t xml:space="preserve">4816148163592</t>
        </is>
      </c>
      <c r="Q264" s="3" t="str">
        <f>HYPERLINK("https://modify.by/img/358528919/1.webp","фото")</f>
        <v>фото</v>
      </c>
      <c r="R264" s="3" t="str">
        <f>HYPERLINK("https://modify.by/catalog/kardigany/358528919/?utm_source=price&amp;utm_medium=xlsx","открыть")</f>
        <v>открыть</v>
      </c>
    </row>
    <row r="265">
      <c r="A265" t="inlineStr">
        <is>
          <t xml:space="preserve">Женский</t>
        </is>
      </c>
      <c r="B265" t="inlineStr">
        <is>
          <t xml:space="preserve">Кардиганы</t>
        </is>
      </c>
      <c r="C265" t="inlineStr">
        <is>
          <t xml:space="preserve">Кофта кардиган ажурной вязки укороченный свободный</t>
        </is>
      </c>
      <c r="D265" t="inlineStr">
        <is>
          <t xml:space="preserve">SW52W02мятный</t>
        </is>
      </c>
      <c r="E265" t="inlineStr">
        <is>
          <t xml:space="preserve">мятный</t>
        </is>
      </c>
      <c r="F265" t="inlineStr">
        <is>
          <t xml:space="preserve">50</t>
        </is>
      </c>
      <c r="G265">
        <v>6</v>
      </c>
      <c r="H265" s="2">
        <v>40.0</v>
      </c>
      <c r="I265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265"/>
      <c r="K265" t="inlineStr">
        <is>
          <t xml:space="preserve">Бангладеш</t>
        </is>
      </c>
      <c r="L265" t="inlineStr">
        <is>
          <t xml:space="preserve">6110309900</t>
        </is>
      </c>
      <c r="M265" t="inlineStr">
        <is>
          <t xml:space="preserve">Декларация № ЕАЭС № BY/112 11.01. ТР017 122.01 08246, до 19.04.2028</t>
        </is>
      </c>
      <c r="N265" t="inlineStr">
        <is>
          <t xml:space="preserve">33 × 28 × 5</t>
        </is>
      </c>
      <c r="O265" t="inlineStr">
        <is>
          <t xml:space="preserve">0,6</t>
        </is>
      </c>
      <c r="P265" t="inlineStr">
        <is>
          <t xml:space="preserve">4816148163608</t>
        </is>
      </c>
      <c r="Q265" s="3" t="str">
        <f>HYPERLINK("https://modify.by/img/358528919/1.webp","фото")</f>
        <v>фото</v>
      </c>
      <c r="R265" s="3" t="str">
        <f>HYPERLINK("https://modify.by/catalog/kardigany/358528919/?utm_source=price&amp;utm_medium=xlsx","открыть")</f>
        <v>открыть</v>
      </c>
    </row>
    <row r="266">
      <c r="A266" t="inlineStr">
        <is>
          <t xml:space="preserve">Женский</t>
        </is>
      </c>
      <c r="B266" t="inlineStr">
        <is>
          <t xml:space="preserve">Кофты</t>
        </is>
      </c>
      <c r="C266" t="inlineStr">
        <is>
          <t xml:space="preserve">Свитер укороченный сетка с длинным рукавом</t>
        </is>
      </c>
      <c r="D266" t="inlineStr">
        <is>
          <t xml:space="preserve">SW32W22сиреневый</t>
        </is>
      </c>
      <c r="E266" t="inlineStr">
        <is>
          <t xml:space="preserve">сиреневый</t>
        </is>
      </c>
      <c r="F266" t="inlineStr">
        <is>
          <t xml:space="preserve">42</t>
        </is>
      </c>
      <c r="G266">
        <v>1</v>
      </c>
      <c r="H266" s="2">
        <v>25.0</v>
      </c>
      <c r="I266" t="inlineStr">
        <is>
          <t xml:space="preserve">акрил 100%</t>
        </is>
      </c>
      <c r="J266" t="inlineStr">
        <is>
          <t xml:space="preserve">демисезон</t>
        </is>
      </c>
      <c r="K266" t="inlineStr">
        <is>
          <t xml:space="preserve">Бангладеш</t>
        </is>
      </c>
      <c r="L266" t="inlineStr">
        <is>
          <t xml:space="preserve">6110309900</t>
        </is>
      </c>
      <c r="M266" t="inlineStr">
        <is>
          <t xml:space="preserve">Декларация № ЕАЭС № BY/112 11.01. ТР017 122.01 08246, до 19.04.2028</t>
        </is>
      </c>
      <c r="N266" t="inlineStr">
        <is>
          <t xml:space="preserve">37 × 27 × 3</t>
        </is>
      </c>
      <c r="O266" t="inlineStr">
        <is>
          <t xml:space="preserve">0,21</t>
        </is>
      </c>
      <c r="P266" t="inlineStr">
        <is>
          <t xml:space="preserve">2038096182612</t>
        </is>
      </c>
      <c r="Q266" s="3" t="str">
        <f>HYPERLINK("https://modify.by/img/193200562/1.webp","фото")</f>
        <v>фото</v>
      </c>
      <c r="R266" s="3" t="str">
        <f>HYPERLINK("https://modify.by/catalog/kofty/193200562/?utm_source=price&amp;utm_medium=xlsx","открыть")</f>
        <v>открыть</v>
      </c>
    </row>
    <row r="267">
      <c r="A267" t="inlineStr">
        <is>
          <t xml:space="preserve">Женский</t>
        </is>
      </c>
      <c r="B267" t="inlineStr">
        <is>
          <t xml:space="preserve">Кофты</t>
        </is>
      </c>
      <c r="C267" t="inlineStr">
        <is>
          <t xml:space="preserve">Свитер укороченный сетка с длинным рукавом</t>
        </is>
      </c>
      <c r="D267" t="inlineStr">
        <is>
          <t xml:space="preserve">SW32W22сиреневый</t>
        </is>
      </c>
      <c r="E267" t="inlineStr">
        <is>
          <t xml:space="preserve">сиреневый</t>
        </is>
      </c>
      <c r="F267" t="inlineStr">
        <is>
          <t xml:space="preserve">42</t>
        </is>
      </c>
      <c r="G267">
        <v>1</v>
      </c>
      <c r="H267" s="2">
        <v>25.0</v>
      </c>
      <c r="I267" t="inlineStr">
        <is>
          <t xml:space="preserve">акрил 100%</t>
        </is>
      </c>
      <c r="J267" t="inlineStr">
        <is>
          <t xml:space="preserve">демисезон</t>
        </is>
      </c>
      <c r="K267" t="inlineStr">
        <is>
          <t xml:space="preserve">Бангладеш</t>
        </is>
      </c>
      <c r="L267" t="inlineStr">
        <is>
          <t xml:space="preserve">6110309900</t>
        </is>
      </c>
      <c r="M267" t="inlineStr">
        <is>
          <t xml:space="preserve">Декларация № ЕАЭС № BY/112 11.01. ТР017 122.01 08246, до 19.04.2028</t>
        </is>
      </c>
      <c r="N267" t="inlineStr">
        <is>
          <t xml:space="preserve">37 × 27 × 3</t>
        </is>
      </c>
      <c r="O267" t="inlineStr">
        <is>
          <t xml:space="preserve">0,21</t>
        </is>
      </c>
      <c r="P267" t="inlineStr">
        <is>
          <t xml:space="preserve">4816148149220</t>
        </is>
      </c>
      <c r="Q267" s="3" t="str">
        <f>HYPERLINK("https://modify.by/img/193200562/1.webp","фото")</f>
        <v>фото</v>
      </c>
      <c r="R267" s="3" t="str">
        <f>HYPERLINK("https://modify.by/catalog/kofty/193200562/?utm_source=price&amp;utm_medium=xlsx","открыть")</f>
        <v>открыть</v>
      </c>
    </row>
    <row r="268">
      <c r="A268" t="inlineStr">
        <is>
          <t xml:space="preserve">Женский</t>
        </is>
      </c>
      <c r="B268" t="inlineStr">
        <is>
          <t xml:space="preserve">Лонгсливы</t>
        </is>
      </c>
      <c r="C268" t="inlineStr">
        <is>
          <t xml:space="preserve">Лонгслив на молнии с капюшоном защита от солнца UPF 50+</t>
        </is>
      </c>
      <c r="D268" t="inlineStr">
        <is>
          <t xml:space="preserve">T252SSW01белый</t>
        </is>
      </c>
      <c r="E268" t="inlineStr">
        <is>
          <t xml:space="preserve">белый</t>
        </is>
      </c>
      <c r="F268" t="inlineStr">
        <is>
          <t xml:space="preserve">50</t>
        </is>
      </c>
      <c r="G268">
        <v>1</v>
      </c>
      <c r="H268" s="2">
        <v>61.0</v>
      </c>
      <c r="I268" t="inlineStr">
        <is>
          <t xml:space="preserve">87% нейлон, 13% спандекс</t>
        </is>
      </c>
      <c r="J268" t="inlineStr">
        <is>
          <t xml:space="preserve">круглогодичный</t>
        </is>
      </c>
      <c r="K268" t="inlineStr">
        <is>
          <t xml:space="preserve">Китай</t>
        </is>
      </c>
      <c r="L268" t="inlineStr">
        <is>
          <t xml:space="preserve">6114900000</t>
        </is>
      </c>
      <c r="M268" t="inlineStr">
        <is>
          <t xml:space="preserve">Декларация № ЕАЭС N RU Д-CN.РА02.В.44060/24, до 28.02.2029</t>
        </is>
      </c>
      <c r="N268" t="inlineStr">
        <is>
          <t xml:space="preserve">34 × 28 × 3</t>
        </is>
      </c>
      <c r="O268" t="inlineStr">
        <is>
          <t xml:space="preserve">0,26</t>
        </is>
      </c>
      <c r="P268" t="inlineStr">
        <is>
          <t xml:space="preserve">4816148175274</t>
        </is>
      </c>
      <c r="Q268" s="3" t="str">
        <f>HYPERLINK("https://modify.by/img/795427284/1.webp","фото")</f>
        <v>фото</v>
      </c>
      <c r="R268" s="3" t="str">
        <f>HYPERLINK("https://modify.by/catalog/longslivy/795427284/?utm_source=price&amp;utm_medium=xlsx","открыть")</f>
        <v>открыть</v>
      </c>
    </row>
    <row r="269">
      <c r="A269" t="inlineStr">
        <is>
          <t xml:space="preserve">Женский</t>
        </is>
      </c>
      <c r="B269" t="inlineStr">
        <is>
          <t xml:space="preserve">Лонгсливы</t>
        </is>
      </c>
      <c r="C269" t="inlineStr">
        <is>
          <t xml:space="preserve">Лонгслив на молнии с капюшоном защита от солнца UPF 50+</t>
        </is>
      </c>
      <c r="D269" t="inlineStr">
        <is>
          <t xml:space="preserve">T252SSW01белый</t>
        </is>
      </c>
      <c r="E269" t="inlineStr">
        <is>
          <t xml:space="preserve">белый</t>
        </is>
      </c>
      <c r="F269" t="inlineStr">
        <is>
          <t xml:space="preserve">54</t>
        </is>
      </c>
      <c r="G269">
        <v>1</v>
      </c>
      <c r="H269" s="2">
        <v>61.0</v>
      </c>
      <c r="I269" t="inlineStr">
        <is>
          <t xml:space="preserve">87% нейлон, 13% спандекс</t>
        </is>
      </c>
      <c r="J269" t="inlineStr">
        <is>
          <t xml:space="preserve">круглогодичный</t>
        </is>
      </c>
      <c r="K269" t="inlineStr">
        <is>
          <t xml:space="preserve">Китай</t>
        </is>
      </c>
      <c r="L269" t="inlineStr">
        <is>
          <t xml:space="preserve">6114900000</t>
        </is>
      </c>
      <c r="M269" t="inlineStr">
        <is>
          <t xml:space="preserve">Декларация № ЕАЭС N RU Д-CN.РА02.В.44060/24, до 28.02.2029</t>
        </is>
      </c>
      <c r="N269" t="inlineStr">
        <is>
          <t xml:space="preserve">34 × 28 × 3</t>
        </is>
      </c>
      <c r="O269" t="inlineStr">
        <is>
          <t xml:space="preserve">0,26</t>
        </is>
      </c>
      <c r="P269" t="inlineStr">
        <is>
          <t xml:space="preserve">4816148175298</t>
        </is>
      </c>
      <c r="Q269" s="3" t="str">
        <f>HYPERLINK("https://modify.by/img/795427284/1.webp","фото")</f>
        <v>фото</v>
      </c>
      <c r="R269" s="3" t="str">
        <f>HYPERLINK("https://modify.by/catalog/longslivy/795427284/?utm_source=price&amp;utm_medium=xlsx","открыть")</f>
        <v>открыть</v>
      </c>
    </row>
    <row r="270">
      <c r="A270" t="inlineStr">
        <is>
          <t xml:space="preserve">Женский</t>
        </is>
      </c>
      <c r="B270" t="inlineStr">
        <is>
          <t xml:space="preserve">Лонгсливы</t>
        </is>
      </c>
      <c r="C270" t="inlineStr">
        <is>
          <t xml:space="preserve">Солнцезащитная кофта на молнии спортивная UPF 50+ защита</t>
        </is>
      </c>
      <c r="D270" t="inlineStr">
        <is>
          <t xml:space="preserve">T252SSW02_хаки</t>
        </is>
      </c>
      <c r="E270" t="inlineStr">
        <is>
          <t xml:space="preserve">серо-зеленый</t>
        </is>
      </c>
      <c r="F270" t="inlineStr">
        <is>
          <t xml:space="preserve">50</t>
        </is>
      </c>
      <c r="G270">
        <v>3</v>
      </c>
      <c r="H270" s="2">
        <v>40.0</v>
      </c>
      <c r="I270" t="inlineStr">
        <is>
          <t xml:space="preserve">88% полиэфирные волокна, 12% спандекс</t>
        </is>
      </c>
      <c r="J270" t="inlineStr">
        <is>
          <t xml:space="preserve">круглогодичный</t>
        </is>
      </c>
      <c r="K270" t="inlineStr">
        <is>
          <t xml:space="preserve">Китай</t>
        </is>
      </c>
      <c r="L270" t="inlineStr">
        <is>
          <t xml:space="preserve">6114900000</t>
        </is>
      </c>
      <c r="M270" t="inlineStr">
        <is>
          <t xml:space="preserve">Декларация № ЕАЭС N RU Д-CN.РА02.В.44060/24, до 28.02.2029</t>
        </is>
      </c>
      <c r="N270" t="inlineStr">
        <is>
          <t xml:space="preserve">32 × 28 × 3</t>
        </is>
      </c>
      <c r="O270" t="inlineStr">
        <is>
          <t xml:space="preserve">0,27</t>
        </is>
      </c>
      <c r="P270" t="inlineStr">
        <is>
          <t xml:space="preserve">4816148182531</t>
        </is>
      </c>
      <c r="Q270" s="3" t="str">
        <f>HYPERLINK("https://modify.by/img/942677734/1.webp","фото")</f>
        <v>фото</v>
      </c>
      <c r="R270" s="3" t="str">
        <f>HYPERLINK("https://modify.by/catalog/longslivy/942677734/?utm_source=price&amp;utm_medium=xlsx","открыть")</f>
        <v>открыть</v>
      </c>
    </row>
    <row r="271">
      <c r="A271" t="inlineStr">
        <is>
          <t xml:space="preserve">Женский</t>
        </is>
      </c>
      <c r="B271" t="inlineStr">
        <is>
          <t xml:space="preserve">Лонгсливы</t>
        </is>
      </c>
      <c r="C271" t="inlineStr">
        <is>
          <t xml:space="preserve">Солнцезащитная кофта на молнии спортивная UPF 50+ защита</t>
        </is>
      </c>
      <c r="D271" t="inlineStr">
        <is>
          <t xml:space="preserve">T252SSW02_хаки</t>
        </is>
      </c>
      <c r="E271" t="inlineStr">
        <is>
          <t xml:space="preserve">серо-зеленый</t>
        </is>
      </c>
      <c r="F271" t="inlineStr">
        <is>
          <t xml:space="preserve">52</t>
        </is>
      </c>
      <c r="G271">
        <v>2</v>
      </c>
      <c r="H271" s="2">
        <v>40.0</v>
      </c>
      <c r="I271" t="inlineStr">
        <is>
          <t xml:space="preserve">88% полиэфирные волокна, 12% спандекс</t>
        </is>
      </c>
      <c r="J271" t="inlineStr">
        <is>
          <t xml:space="preserve">круглогодичный</t>
        </is>
      </c>
      <c r="K271" t="inlineStr">
        <is>
          <t xml:space="preserve">Китай</t>
        </is>
      </c>
      <c r="L271" t="inlineStr">
        <is>
          <t xml:space="preserve">6114900000</t>
        </is>
      </c>
      <c r="M271" t="inlineStr">
        <is>
          <t xml:space="preserve">Декларация № ЕАЭС N RU Д-CN.РА02.В.44060/24, до 28.02.2029</t>
        </is>
      </c>
      <c r="N271" t="inlineStr">
        <is>
          <t xml:space="preserve">32 × 28 × 3</t>
        </is>
      </c>
      <c r="O271" t="inlineStr">
        <is>
          <t xml:space="preserve">0,27</t>
        </is>
      </c>
      <c r="P271" t="inlineStr">
        <is>
          <t xml:space="preserve">4816148182548</t>
        </is>
      </c>
      <c r="Q271" s="3" t="str">
        <f>HYPERLINK("https://modify.by/img/942677734/1.webp","фото")</f>
        <v>фото</v>
      </c>
      <c r="R271" s="3" t="str">
        <f>HYPERLINK("https://modify.by/catalog/longslivy/942677734/?utm_source=price&amp;utm_medium=xlsx","открыть")</f>
        <v>открыть</v>
      </c>
    </row>
    <row r="272">
      <c r="A272" t="inlineStr">
        <is>
          <t xml:space="preserve">Женский</t>
        </is>
      </c>
      <c r="B272" t="inlineStr">
        <is>
          <t xml:space="preserve">Лонгсливы</t>
        </is>
      </c>
      <c r="C272" t="inlineStr">
        <is>
          <t xml:space="preserve">Солнцезащитная кофта на молнии спортивная UPF 50+ защита</t>
        </is>
      </c>
      <c r="D272" t="inlineStr">
        <is>
          <t xml:space="preserve">T252SSW02_хаки</t>
        </is>
      </c>
      <c r="E272" t="inlineStr">
        <is>
          <t xml:space="preserve">серо-зеленый</t>
        </is>
      </c>
      <c r="F272" t="inlineStr">
        <is>
          <t xml:space="preserve">54</t>
        </is>
      </c>
      <c r="G272">
        <v>8</v>
      </c>
      <c r="H272" s="2">
        <v>40.0</v>
      </c>
      <c r="I272" t="inlineStr">
        <is>
          <t xml:space="preserve">88% полиэфирные волокна, 12% спандекс</t>
        </is>
      </c>
      <c r="J272" t="inlineStr">
        <is>
          <t xml:space="preserve">круглогодичный</t>
        </is>
      </c>
      <c r="K272" t="inlineStr">
        <is>
          <t xml:space="preserve">Китай</t>
        </is>
      </c>
      <c r="L272" t="inlineStr">
        <is>
          <t xml:space="preserve">6114900000</t>
        </is>
      </c>
      <c r="M272" t="inlineStr">
        <is>
          <t xml:space="preserve">Декларация № ЕАЭС N RU Д-CN.РА02.В.44060/24, до 28.02.2029</t>
        </is>
      </c>
      <c r="N272" t="inlineStr">
        <is>
          <t xml:space="preserve">32 × 28 × 3</t>
        </is>
      </c>
      <c r="O272" t="inlineStr">
        <is>
          <t xml:space="preserve">0,27</t>
        </is>
      </c>
      <c r="P272" t="inlineStr">
        <is>
          <t xml:space="preserve">4816148182555</t>
        </is>
      </c>
      <c r="Q272" s="3" t="str">
        <f>HYPERLINK("https://modify.by/img/942677734/1.webp","фото")</f>
        <v>фото</v>
      </c>
      <c r="R272" s="3" t="str">
        <f>HYPERLINK("https://modify.by/catalog/longslivy/942677734/?utm_source=price&amp;utm_medium=xlsx","открыть")</f>
        <v>открыть</v>
      </c>
    </row>
    <row r="273">
      <c r="A273" t="inlineStr">
        <is>
          <t xml:space="preserve">Женский</t>
        </is>
      </c>
      <c r="B273" t="inlineStr">
        <is>
          <t xml:space="preserve">Лонгсливы</t>
        </is>
      </c>
      <c r="C273" t="inlineStr">
        <is>
          <t xml:space="preserve">Спортивная кофта на молнии ультралегкая UPF 50+ защита</t>
        </is>
      </c>
      <c r="D273" t="inlineStr">
        <is>
          <t xml:space="preserve">T252SSW01розовый</t>
        </is>
      </c>
      <c r="E273" t="inlineStr">
        <is>
          <t xml:space="preserve">светло-розовый</t>
        </is>
      </c>
      <c r="F273" t="inlineStr">
        <is>
          <t xml:space="preserve">48</t>
        </is>
      </c>
      <c r="G273">
        <v>1</v>
      </c>
      <c r="H273" s="2">
        <v>61.0</v>
      </c>
      <c r="I273" t="inlineStr">
        <is>
          <t xml:space="preserve">87% нейлон, 13% спандекс</t>
        </is>
      </c>
      <c r="J273" t="inlineStr">
        <is>
          <t xml:space="preserve">круглогодичный</t>
        </is>
      </c>
      <c r="K273" t="inlineStr">
        <is>
          <t xml:space="preserve">Китай</t>
        </is>
      </c>
      <c r="L273" t="inlineStr">
        <is>
          <t xml:space="preserve">6114900000</t>
        </is>
      </c>
      <c r="M273" t="inlineStr">
        <is>
          <t xml:space="preserve">Декларация № ЕАЭС N RU Д-CN.РА02.В.44060/24, до 28.02.2029</t>
        </is>
      </c>
      <c r="N273" t="inlineStr">
        <is>
          <t xml:space="preserve">34 × 28 × 3</t>
        </is>
      </c>
      <c r="O273" t="inlineStr">
        <is>
          <t xml:space="preserve">0,26</t>
        </is>
      </c>
      <c r="P273" t="inlineStr">
        <is>
          <t xml:space="preserve">4816148175236</t>
        </is>
      </c>
      <c r="Q273" s="3" t="str">
        <f>HYPERLINK("https://modify.by/img/795385163/1.webp","фото")</f>
        <v>фото</v>
      </c>
      <c r="R273" s="3" t="str">
        <f>HYPERLINK("https://modify.by/catalog/longslivy/795385163/?utm_source=price&amp;utm_medium=xlsx","открыть")</f>
        <v>открыть</v>
      </c>
    </row>
    <row r="274">
      <c r="A274" t="inlineStr">
        <is>
          <t xml:space="preserve">Женский</t>
        </is>
      </c>
      <c r="B274" t="inlineStr">
        <is>
          <t xml:space="preserve">Пиджаки</t>
        </is>
      </c>
      <c r="C274" t="inlineStr">
        <is>
          <t xml:space="preserve">Пиджак без подкладки летний, белый</t>
        </is>
      </c>
      <c r="D274" t="inlineStr">
        <is>
          <t xml:space="preserve">BL32W01Белый</t>
        </is>
      </c>
      <c r="E274" t="inlineStr">
        <is>
          <t xml:space="preserve">белый</t>
        </is>
      </c>
      <c r="F274" t="inlineStr">
        <is>
          <t xml:space="preserve">44</t>
        </is>
      </c>
      <c r="G274">
        <v>3</v>
      </c>
      <c r="H274" s="2">
        <v>60.0</v>
      </c>
      <c r="I274" t="inlineStr">
        <is>
          <t xml:space="preserve">Полиэстер 65% хлопок 30% эластан 5%</t>
        </is>
      </c>
      <c r="J274"/>
      <c r="K274" t="inlineStr">
        <is>
          <t xml:space="preserve">Бангладеш</t>
        </is>
      </c>
      <c r="L274" t="inlineStr">
        <is>
          <t xml:space="preserve">6204339000</t>
        </is>
      </c>
      <c r="M274" t="inlineStr">
        <is>
          <t xml:space="preserve">Декларация № ЕАЭС № BY/112 11.01. ТР017 122.01 08246, до 19.04.2028</t>
        </is>
      </c>
      <c r="N274" t="inlineStr">
        <is>
          <t xml:space="preserve">34 × 30 × 4</t>
        </is>
      </c>
      <c r="O274" t="inlineStr">
        <is>
          <t xml:space="preserve">0,33</t>
        </is>
      </c>
      <c r="P274" t="inlineStr">
        <is>
          <t xml:space="preserve">2026620746348</t>
        </is>
      </c>
      <c r="Q274" s="3" t="str">
        <f>HYPERLINK("https://modify.by/img/170274428/1.webp","фото")</f>
        <v>фото</v>
      </c>
      <c r="R274" s="3" t="str">
        <f>HYPERLINK("https://modify.by/catalog/pidzhaki/170274428/?utm_source=price&amp;utm_medium=xlsx","открыть")</f>
        <v>открыть</v>
      </c>
    </row>
    <row r="275">
      <c r="A275" t="inlineStr">
        <is>
          <t xml:space="preserve">Женский</t>
        </is>
      </c>
      <c r="B275" t="inlineStr">
        <is>
          <t xml:space="preserve">Пиджаки</t>
        </is>
      </c>
      <c r="C275" t="inlineStr">
        <is>
          <t xml:space="preserve">Пиджак без подкладки летний, белый</t>
        </is>
      </c>
      <c r="D275" t="inlineStr">
        <is>
          <t xml:space="preserve">BL32W01Белый</t>
        </is>
      </c>
      <c r="E275" t="inlineStr">
        <is>
          <t xml:space="preserve">белый</t>
        </is>
      </c>
      <c r="F275" t="inlineStr">
        <is>
          <t xml:space="preserve">46</t>
        </is>
      </c>
      <c r="G275">
        <v>1</v>
      </c>
      <c r="H275" s="2">
        <v>60.0</v>
      </c>
      <c r="I275" t="inlineStr">
        <is>
          <t xml:space="preserve">Полиэстер 65% хлопок 30% эластан 5%</t>
        </is>
      </c>
      <c r="J275"/>
      <c r="K275" t="inlineStr">
        <is>
          <t xml:space="preserve">Бангладеш</t>
        </is>
      </c>
      <c r="L275" t="inlineStr">
        <is>
          <t xml:space="preserve">6204339000</t>
        </is>
      </c>
      <c r="M275" t="inlineStr">
        <is>
          <t xml:space="preserve">Декларация № ЕАЭС № BY/112 11.01. ТР017 122.01 08246, до 19.04.2028</t>
        </is>
      </c>
      <c r="N275" t="inlineStr">
        <is>
          <t xml:space="preserve">34 × 30 × 4</t>
        </is>
      </c>
      <c r="O275" t="inlineStr">
        <is>
          <t xml:space="preserve">0,33</t>
        </is>
      </c>
      <c r="P275" t="inlineStr">
        <is>
          <t xml:space="preserve">2026620746331</t>
        </is>
      </c>
      <c r="Q275" s="3" t="str">
        <f>HYPERLINK("https://modify.by/img/170274428/1.webp","фото")</f>
        <v>фото</v>
      </c>
      <c r="R275" s="3" t="str">
        <f>HYPERLINK("https://modify.by/catalog/pidzhaki/170274428/?utm_source=price&amp;utm_medium=xlsx","открыть")</f>
        <v>открыть</v>
      </c>
    </row>
    <row r="276">
      <c r="A276" t="inlineStr">
        <is>
          <t xml:space="preserve">Женский</t>
        </is>
      </c>
      <c r="B276" t="inlineStr">
        <is>
          <t xml:space="preserve">Пиджаки</t>
        </is>
      </c>
      <c r="C276" t="inlineStr">
        <is>
          <t xml:space="preserve">Пиджак без подкладки летний, белый</t>
        </is>
      </c>
      <c r="D276" t="inlineStr">
        <is>
          <t xml:space="preserve">BL32W01Белый</t>
        </is>
      </c>
      <c r="E276" t="inlineStr">
        <is>
          <t xml:space="preserve">белый</t>
        </is>
      </c>
      <c r="F276" t="inlineStr">
        <is>
          <t xml:space="preserve">46</t>
        </is>
      </c>
      <c r="G276">
        <v>1</v>
      </c>
      <c r="H276" s="2">
        <v>60.0</v>
      </c>
      <c r="I276" t="inlineStr">
        <is>
          <t xml:space="preserve">Полиэстер 65% хлопок 30% эластан 5%</t>
        </is>
      </c>
      <c r="J276"/>
      <c r="K276" t="inlineStr">
        <is>
          <t xml:space="preserve">Бангладеш</t>
        </is>
      </c>
      <c r="L276" t="inlineStr">
        <is>
          <t xml:space="preserve">6204339000</t>
        </is>
      </c>
      <c r="M276" t="inlineStr">
        <is>
          <t xml:space="preserve">Декларация № ЕАЭС № BY/112 11.01. ТР017 122.01 08246, до 19.04.2028</t>
        </is>
      </c>
      <c r="N276" t="inlineStr">
        <is>
          <t xml:space="preserve">34 × 30 × 4</t>
        </is>
      </c>
      <c r="O276" t="inlineStr">
        <is>
          <t xml:space="preserve">0,33</t>
        </is>
      </c>
      <c r="P276" t="inlineStr">
        <is>
          <t xml:space="preserve">4816148117991</t>
        </is>
      </c>
      <c r="Q276" s="3" t="str">
        <f>HYPERLINK("https://modify.by/img/170274428/1.webp","фото")</f>
        <v>фото</v>
      </c>
      <c r="R276" s="3" t="str">
        <f>HYPERLINK("https://modify.by/catalog/pidzhaki/170274428/?utm_source=price&amp;utm_medium=xlsx","открыть")</f>
        <v>открыть</v>
      </c>
    </row>
    <row r="277">
      <c r="A277" t="inlineStr">
        <is>
          <t xml:space="preserve">Женский</t>
        </is>
      </c>
      <c r="B277" t="inlineStr">
        <is>
          <t xml:space="preserve">Пиджаки</t>
        </is>
      </c>
      <c r="C277" t="inlineStr">
        <is>
          <t xml:space="preserve">Пиджак без подкладки летний, белый</t>
        </is>
      </c>
      <c r="D277" t="inlineStr">
        <is>
          <t xml:space="preserve">BL32W01Белый</t>
        </is>
      </c>
      <c r="E277" t="inlineStr">
        <is>
          <t xml:space="preserve">белый</t>
        </is>
      </c>
      <c r="F277" t="inlineStr">
        <is>
          <t xml:space="preserve">48</t>
        </is>
      </c>
      <c r="G277">
        <v>3</v>
      </c>
      <c r="H277" s="2">
        <v>60.0</v>
      </c>
      <c r="I277" t="inlineStr">
        <is>
          <t xml:space="preserve">Полиэстер 65% хлопок 30% эластан 5%</t>
        </is>
      </c>
      <c r="J277"/>
      <c r="K277" t="inlineStr">
        <is>
          <t xml:space="preserve">Бангладеш</t>
        </is>
      </c>
      <c r="L277" t="inlineStr">
        <is>
          <t xml:space="preserve">6204339000</t>
        </is>
      </c>
      <c r="M277" t="inlineStr">
        <is>
          <t xml:space="preserve">Декларация № ЕАЭС № BY/112 11.01. ТР017 122.01 08246, до 19.04.2028</t>
        </is>
      </c>
      <c r="N277" t="inlineStr">
        <is>
          <t xml:space="preserve">34 × 30 × 4</t>
        </is>
      </c>
      <c r="O277" t="inlineStr">
        <is>
          <t xml:space="preserve">0,33</t>
        </is>
      </c>
      <c r="P277" t="inlineStr">
        <is>
          <t xml:space="preserve">4816148117984</t>
        </is>
      </c>
      <c r="Q277" s="3" t="str">
        <f>HYPERLINK("https://modify.by/img/170274428/1.webp","фото")</f>
        <v>фото</v>
      </c>
      <c r="R277" s="3" t="str">
        <f>HYPERLINK("https://modify.by/catalog/pidzhaki/170274428/?utm_source=price&amp;utm_medium=xlsx","открыть")</f>
        <v>открыть</v>
      </c>
    </row>
    <row r="278">
      <c r="A278" t="inlineStr">
        <is>
          <t xml:space="preserve">Женский</t>
        </is>
      </c>
      <c r="B278" t="inlineStr">
        <is>
          <t xml:space="preserve">Пиджаки</t>
        </is>
      </c>
      <c r="C278" t="inlineStr">
        <is>
          <t xml:space="preserve">Пиджак без подкладки летний, белый</t>
        </is>
      </c>
      <c r="D278" t="inlineStr">
        <is>
          <t xml:space="preserve">BL32W01Белый</t>
        </is>
      </c>
      <c r="E278" t="inlineStr">
        <is>
          <t xml:space="preserve">белый</t>
        </is>
      </c>
      <c r="F278" t="inlineStr">
        <is>
          <t xml:space="preserve">52</t>
        </is>
      </c>
      <c r="G278">
        <v>1</v>
      </c>
      <c r="H278" s="2">
        <v>60.0</v>
      </c>
      <c r="I278" t="inlineStr">
        <is>
          <t xml:space="preserve">Полиэстер 65% хлопок 30% эластан 5%</t>
        </is>
      </c>
      <c r="J278"/>
      <c r="K278" t="inlineStr">
        <is>
          <t xml:space="preserve">Бангладеш</t>
        </is>
      </c>
      <c r="L278" t="inlineStr">
        <is>
          <t xml:space="preserve">6204339000</t>
        </is>
      </c>
      <c r="M278" t="inlineStr">
        <is>
          <t xml:space="preserve">Декларация № ЕАЭС № BY/112 11.01. ТР017 122.01 08246, до 19.04.2028</t>
        </is>
      </c>
      <c r="N278" t="inlineStr">
        <is>
          <t xml:space="preserve">34 × 30 × 4</t>
        </is>
      </c>
      <c r="O278" t="inlineStr">
        <is>
          <t xml:space="preserve">0,33</t>
        </is>
      </c>
      <c r="P278" t="inlineStr">
        <is>
          <t xml:space="preserve">2026620746300</t>
        </is>
      </c>
      <c r="Q278" s="3" t="str">
        <f>HYPERLINK("https://modify.by/img/170274428/1.webp","фото")</f>
        <v>фото</v>
      </c>
      <c r="R278" s="3" t="str">
        <f>HYPERLINK("https://modify.by/catalog/pidzhaki/170274428/?utm_source=price&amp;utm_medium=xlsx","открыть")</f>
        <v>открыть</v>
      </c>
    </row>
    <row r="279">
      <c r="A279" t="inlineStr">
        <is>
          <t xml:space="preserve">Женский</t>
        </is>
      </c>
      <c r="B279" t="inlineStr">
        <is>
          <t xml:space="preserve">Пиджаки</t>
        </is>
      </c>
      <c r="C279" t="inlineStr">
        <is>
          <t xml:space="preserve">Пиджак без подкладки летний, белый</t>
        </is>
      </c>
      <c r="D279" t="inlineStr">
        <is>
          <t xml:space="preserve">BL32W01Белый</t>
        </is>
      </c>
      <c r="E279" t="inlineStr">
        <is>
          <t xml:space="preserve">белый</t>
        </is>
      </c>
      <c r="F279" t="inlineStr">
        <is>
          <t xml:space="preserve">52</t>
        </is>
      </c>
      <c r="G279">
        <v>1</v>
      </c>
      <c r="H279" s="2">
        <v>60.0</v>
      </c>
      <c r="I279" t="inlineStr">
        <is>
          <t xml:space="preserve">Полиэстер 65% хлопок 30% эластан 5%</t>
        </is>
      </c>
      <c r="J279"/>
      <c r="K279" t="inlineStr">
        <is>
          <t xml:space="preserve">Бангладеш</t>
        </is>
      </c>
      <c r="L279" t="inlineStr">
        <is>
          <t xml:space="preserve">6204339000</t>
        </is>
      </c>
      <c r="M279" t="inlineStr">
        <is>
          <t xml:space="preserve">Декларация № ЕАЭС № BY/112 11.01. ТР017 122.01 08246, до 19.04.2028</t>
        </is>
      </c>
      <c r="N279" t="inlineStr">
        <is>
          <t xml:space="preserve">34 × 30 × 4</t>
        </is>
      </c>
      <c r="O279" t="inlineStr">
        <is>
          <t xml:space="preserve">0,33</t>
        </is>
      </c>
      <c r="P279" t="inlineStr">
        <is>
          <t xml:space="preserve">4816148118011</t>
        </is>
      </c>
      <c r="Q279" s="3" t="str">
        <f>HYPERLINK("https://modify.by/img/170274428/1.webp","фото")</f>
        <v>фото</v>
      </c>
      <c r="R279" s="3" t="str">
        <f>HYPERLINK("https://modify.by/catalog/pidzhaki/170274428/?utm_source=price&amp;utm_medium=xlsx","открыть")</f>
        <v>открыть</v>
      </c>
    </row>
    <row r="280">
      <c r="A280" t="inlineStr">
        <is>
          <t xml:space="preserve">Женский</t>
        </is>
      </c>
      <c r="B280" t="inlineStr">
        <is>
          <t xml:space="preserve">Пиджаки</t>
        </is>
      </c>
      <c r="C280" t="inlineStr">
        <is>
          <t xml:space="preserve">Пиджак без подкладки летний, салатовый</t>
        </is>
      </c>
      <c r="D280" t="inlineStr">
        <is>
          <t xml:space="preserve">BL32W01Салатовый</t>
        </is>
      </c>
      <c r="E280" t="inlineStr">
        <is>
          <t xml:space="preserve">салатовый</t>
        </is>
      </c>
      <c r="F280" t="inlineStr">
        <is>
          <t xml:space="preserve">46</t>
        </is>
      </c>
      <c r="G280">
        <v>1</v>
      </c>
      <c r="H280" s="2">
        <v>60.0</v>
      </c>
      <c r="I280" t="inlineStr">
        <is>
          <t xml:space="preserve">Полиэстер 65% хлопок 30% эластан 5%</t>
        </is>
      </c>
      <c r="J280"/>
      <c r="K280" t="inlineStr">
        <is>
          <t xml:space="preserve">Бангладеш</t>
        </is>
      </c>
      <c r="L280" t="inlineStr">
        <is>
          <t xml:space="preserve">6204339000</t>
        </is>
      </c>
      <c r="M280" t="inlineStr">
        <is>
          <t xml:space="preserve">Декларация № ЕАЭС № BY/112 11.01. ТР017 122.01 08246, до 19.04.2028</t>
        </is>
      </c>
      <c r="N280" t="inlineStr">
        <is>
          <t xml:space="preserve">34 × 30 × 2</t>
        </is>
      </c>
      <c r="O280" t="inlineStr">
        <is>
          <t xml:space="preserve">0,33</t>
        </is>
      </c>
      <c r="P280" t="inlineStr">
        <is>
          <t xml:space="preserve">2026620746515</t>
        </is>
      </c>
      <c r="Q280" s="3" t="str">
        <f>HYPERLINK("https://modify.by/img/170274426/1.webp","фото")</f>
        <v>фото</v>
      </c>
      <c r="R280" s="3" t="str">
        <f>HYPERLINK("https://modify.by/catalog/pidzhaki/170274426/?utm_source=price&amp;utm_medium=xlsx","открыть")</f>
        <v>открыть</v>
      </c>
    </row>
    <row r="281">
      <c r="A281" t="inlineStr">
        <is>
          <t xml:space="preserve">Женский</t>
        </is>
      </c>
      <c r="B281" t="inlineStr">
        <is>
          <t xml:space="preserve">Пиджаки</t>
        </is>
      </c>
      <c r="C281" t="inlineStr">
        <is>
          <t xml:space="preserve">Пиджак без подкладки летний, салатовый</t>
        </is>
      </c>
      <c r="D281" t="inlineStr">
        <is>
          <t xml:space="preserve">BL32W01Салатовый</t>
        </is>
      </c>
      <c r="E281" t="inlineStr">
        <is>
          <t xml:space="preserve">салатовый</t>
        </is>
      </c>
      <c r="F281" t="inlineStr">
        <is>
          <t xml:space="preserve">48</t>
        </is>
      </c>
      <c r="G281">
        <v>1</v>
      </c>
      <c r="H281" s="2">
        <v>60.0</v>
      </c>
      <c r="I281" t="inlineStr">
        <is>
          <t xml:space="preserve">Полиэстер 65% хлопок 30% эластан 5%</t>
        </is>
      </c>
      <c r="J281"/>
      <c r="K281" t="inlineStr">
        <is>
          <t xml:space="preserve">Бангладеш</t>
        </is>
      </c>
      <c r="L281" t="inlineStr">
        <is>
          <t xml:space="preserve">6204339000</t>
        </is>
      </c>
      <c r="M281" t="inlineStr">
        <is>
          <t xml:space="preserve">Декларация № ЕАЭС № BY/112 11.01. ТР017 122.01 08246, до 19.04.2028</t>
        </is>
      </c>
      <c r="N281" t="inlineStr">
        <is>
          <t xml:space="preserve">34 × 30 × 2</t>
        </is>
      </c>
      <c r="O281" t="inlineStr">
        <is>
          <t xml:space="preserve">0,33</t>
        </is>
      </c>
      <c r="P281" t="inlineStr">
        <is>
          <t xml:space="preserve">2026620746508</t>
        </is>
      </c>
      <c r="Q281" s="3" t="str">
        <f>HYPERLINK("https://modify.by/img/170274426/1.webp","фото")</f>
        <v>фото</v>
      </c>
      <c r="R281" s="3" t="str">
        <f>HYPERLINK("https://modify.by/catalog/pidzhaki/170274426/?utm_source=price&amp;utm_medium=xlsx","открыть")</f>
        <v>открыть</v>
      </c>
    </row>
    <row r="282">
      <c r="A282" t="inlineStr">
        <is>
          <t xml:space="preserve">Женский</t>
        </is>
      </c>
      <c r="B282" t="inlineStr">
        <is>
          <t xml:space="preserve">Пиджаки</t>
        </is>
      </c>
      <c r="C282" t="inlineStr">
        <is>
          <t xml:space="preserve">Пиджак без подкладки летний, салатовый</t>
        </is>
      </c>
      <c r="D282" t="inlineStr">
        <is>
          <t xml:space="preserve">BL32W01Салатовый</t>
        </is>
      </c>
      <c r="E282" t="inlineStr">
        <is>
          <t xml:space="preserve">салатовый</t>
        </is>
      </c>
      <c r="F282" t="inlineStr">
        <is>
          <t xml:space="preserve">50</t>
        </is>
      </c>
      <c r="G282">
        <v>18</v>
      </c>
      <c r="H282" s="2">
        <v>60.0</v>
      </c>
      <c r="I282" t="inlineStr">
        <is>
          <t xml:space="preserve">Полиэстер 65% хлопок 30% эластан 5%</t>
        </is>
      </c>
      <c r="J282"/>
      <c r="K282" t="inlineStr">
        <is>
          <t xml:space="preserve">Бангладеш</t>
        </is>
      </c>
      <c r="L282" t="inlineStr">
        <is>
          <t xml:space="preserve">6204339000</t>
        </is>
      </c>
      <c r="M282" t="inlineStr">
        <is>
          <t xml:space="preserve">Декларация № ЕАЭС № BY/112 11.01. ТР017 122.01 08246, до 19.04.2028</t>
        </is>
      </c>
      <c r="N282" t="inlineStr">
        <is>
          <t xml:space="preserve">34 × 30 × 2</t>
        </is>
      </c>
      <c r="O282" t="inlineStr">
        <is>
          <t xml:space="preserve">0,33</t>
        </is>
      </c>
      <c r="P282" t="inlineStr">
        <is>
          <t xml:space="preserve">2026620746492</t>
        </is>
      </c>
      <c r="Q282" s="3" t="str">
        <f>HYPERLINK("https://modify.by/img/170274426/1.webp","фото")</f>
        <v>фото</v>
      </c>
      <c r="R282" s="3" t="str">
        <f>HYPERLINK("https://modify.by/catalog/pidzhaki/170274426/?utm_source=price&amp;utm_medium=xlsx","открыть")</f>
        <v>открыть</v>
      </c>
    </row>
    <row r="283">
      <c r="A283" t="inlineStr">
        <is>
          <t xml:space="preserve">Женский</t>
        </is>
      </c>
      <c r="B283" t="inlineStr">
        <is>
          <t xml:space="preserve">Пиджаки</t>
        </is>
      </c>
      <c r="C283" t="inlineStr">
        <is>
          <t xml:space="preserve">Пиджак без подкладки летний, салатовый</t>
        </is>
      </c>
      <c r="D283" t="inlineStr">
        <is>
          <t xml:space="preserve">BL32W01Салатовый</t>
        </is>
      </c>
      <c r="E283" t="inlineStr">
        <is>
          <t xml:space="preserve">салатовый</t>
        </is>
      </c>
      <c r="F283" t="inlineStr">
        <is>
          <t xml:space="preserve">50</t>
        </is>
      </c>
      <c r="G283">
        <v>18</v>
      </c>
      <c r="H283" s="2">
        <v>60.0</v>
      </c>
      <c r="I283" t="inlineStr">
        <is>
          <t xml:space="preserve">Полиэстер 65% хлопок 30% эластан 5%</t>
        </is>
      </c>
      <c r="J283"/>
      <c r="K283" t="inlineStr">
        <is>
          <t xml:space="preserve">Бангладеш</t>
        </is>
      </c>
      <c r="L283" t="inlineStr">
        <is>
          <t xml:space="preserve">6204339000</t>
        </is>
      </c>
      <c r="M283" t="inlineStr">
        <is>
          <t xml:space="preserve">Декларация № ЕАЭС № BY/112 11.01. ТР017 122.01 08246, до 19.04.2028</t>
        </is>
      </c>
      <c r="N283" t="inlineStr">
        <is>
          <t xml:space="preserve">34 × 30 × 2</t>
        </is>
      </c>
      <c r="O283" t="inlineStr">
        <is>
          <t xml:space="preserve">0,33</t>
        </is>
      </c>
      <c r="P283" t="inlineStr">
        <is>
          <t xml:space="preserve">4816148117885</t>
        </is>
      </c>
      <c r="Q283" s="3" t="str">
        <f>HYPERLINK("https://modify.by/img/170274426/1.webp","фото")</f>
        <v>фото</v>
      </c>
      <c r="R283" s="3" t="str">
        <f>HYPERLINK("https://modify.by/catalog/pidzhaki/170274426/?utm_source=price&amp;utm_medium=xlsx","открыть")</f>
        <v>открыть</v>
      </c>
    </row>
    <row r="284">
      <c r="A284" t="inlineStr">
        <is>
          <t xml:space="preserve">Женский</t>
        </is>
      </c>
      <c r="B284" t="inlineStr">
        <is>
          <t xml:space="preserve">Пиджаки</t>
        </is>
      </c>
      <c r="C284" t="inlineStr">
        <is>
          <t xml:space="preserve">Пиджак приталенный с карманами, белый</t>
        </is>
      </c>
      <c r="D284" t="inlineStr">
        <is>
          <t xml:space="preserve">BL32W011Белый</t>
        </is>
      </c>
      <c r="E284" t="inlineStr">
        <is>
          <t xml:space="preserve">белый</t>
        </is>
      </c>
      <c r="F284" t="inlineStr">
        <is>
          <t xml:space="preserve">44</t>
        </is>
      </c>
      <c r="G284">
        <v>1</v>
      </c>
      <c r="H284" s="2">
        <v>60.0</v>
      </c>
      <c r="I284" t="inlineStr">
        <is>
          <t xml:space="preserve">95% полиэстер, 5% эластан</t>
        </is>
      </c>
      <c r="J284"/>
      <c r="K284" t="inlineStr">
        <is>
          <t xml:space="preserve">Бангладеш</t>
        </is>
      </c>
      <c r="L284" t="inlineStr">
        <is>
          <t xml:space="preserve">6204339000</t>
        </is>
      </c>
      <c r="M284" t="inlineStr">
        <is>
          <t xml:space="preserve">Декларация № ЕАЭС № BY/112 11.01. ТР017 122.01 08246, до 19.04.2028</t>
        </is>
      </c>
      <c r="N284" t="inlineStr">
        <is>
          <t xml:space="preserve">35 × 30 × 4</t>
        </is>
      </c>
      <c r="O284" t="inlineStr">
        <is>
          <t xml:space="preserve">0,55</t>
        </is>
      </c>
      <c r="P284" t="inlineStr">
        <is>
          <t xml:space="preserve">2038096164403</t>
        </is>
      </c>
      <c r="Q284" s="3" t="str">
        <f>HYPERLINK("https://modify.by/img/173321058/1.webp","фото")</f>
        <v>фото</v>
      </c>
      <c r="R284" s="3" t="str">
        <f>HYPERLINK("https://modify.by/catalog/pidzhaki/173321058/?utm_source=price&amp;utm_medium=xlsx","открыть")</f>
        <v>открыть</v>
      </c>
    </row>
    <row r="285">
      <c r="A285" t="inlineStr">
        <is>
          <t xml:space="preserve">Женский</t>
        </is>
      </c>
      <c r="B285" t="inlineStr">
        <is>
          <t xml:space="preserve">Пиджаки</t>
        </is>
      </c>
      <c r="C285" t="inlineStr">
        <is>
          <t xml:space="preserve">Пиджак приталенный с карманами, белый</t>
        </is>
      </c>
      <c r="D285" t="inlineStr">
        <is>
          <t xml:space="preserve">BL32W011Белый</t>
        </is>
      </c>
      <c r="E285" t="inlineStr">
        <is>
          <t xml:space="preserve">белый</t>
        </is>
      </c>
      <c r="F285" t="inlineStr">
        <is>
          <t xml:space="preserve">50</t>
        </is>
      </c>
      <c r="G285">
        <v>1</v>
      </c>
      <c r="H285" s="2">
        <v>60.0</v>
      </c>
      <c r="I285" t="inlineStr">
        <is>
          <t xml:space="preserve">95% полиэстер, 5% эластан</t>
        </is>
      </c>
      <c r="J285"/>
      <c r="K285" t="inlineStr">
        <is>
          <t xml:space="preserve">Бангладеш</t>
        </is>
      </c>
      <c r="L285" t="inlineStr">
        <is>
          <t xml:space="preserve">6204339000</t>
        </is>
      </c>
      <c r="M285" t="inlineStr">
        <is>
          <t xml:space="preserve">Декларация № ЕАЭС № BY/112 11.01. ТР017 122.01 08246, до 19.04.2028</t>
        </is>
      </c>
      <c r="N285" t="inlineStr">
        <is>
          <t xml:space="preserve">35 × 30 × 4</t>
        </is>
      </c>
      <c r="O285" t="inlineStr">
        <is>
          <t xml:space="preserve">0,55</t>
        </is>
      </c>
      <c r="P285" t="inlineStr">
        <is>
          <t xml:space="preserve">2038096164434</t>
        </is>
      </c>
      <c r="Q285" s="3" t="str">
        <f>HYPERLINK("https://modify.by/img/173321058/1.webp","фото")</f>
        <v>фото</v>
      </c>
      <c r="R285" s="3" t="str">
        <f>HYPERLINK("https://modify.by/catalog/pidzhaki/173321058/?utm_source=price&amp;utm_medium=xlsx","открыть")</f>
        <v>открыть</v>
      </c>
    </row>
    <row r="286">
      <c r="A286" t="inlineStr">
        <is>
          <t xml:space="preserve">Женский</t>
        </is>
      </c>
      <c r="B286" t="inlineStr">
        <is>
          <t xml:space="preserve">Пиджаки</t>
        </is>
      </c>
      <c r="C286" t="inlineStr">
        <is>
          <t xml:space="preserve">Пиджак приталенный с карманами, графит</t>
        </is>
      </c>
      <c r="D286" t="inlineStr">
        <is>
          <t xml:space="preserve">BL32W011Графит</t>
        </is>
      </c>
      <c r="E286" t="inlineStr">
        <is>
          <t xml:space="preserve">графит</t>
        </is>
      </c>
      <c r="F286" t="inlineStr">
        <is>
          <t xml:space="preserve">48</t>
        </is>
      </c>
      <c r="G286">
        <v>1</v>
      </c>
      <c r="H286" s="2">
        <v>60.0</v>
      </c>
      <c r="I286" t="inlineStr">
        <is>
          <t xml:space="preserve">Полиэстер 65% хлопок 30% эластан 5%</t>
        </is>
      </c>
      <c r="J286"/>
      <c r="K286" t="inlineStr">
        <is>
          <t xml:space="preserve">Бангладеш</t>
        </is>
      </c>
      <c r="L286" t="inlineStr">
        <is>
          <t xml:space="preserve">6204339000</t>
        </is>
      </c>
      <c r="M286" t="inlineStr">
        <is>
          <t xml:space="preserve">Декларация № ЕАЭС № BY/112 11.01. ТР017 122.01 08246, до 19.04.2028</t>
        </is>
      </c>
      <c r="N286" t="inlineStr">
        <is>
          <t xml:space="preserve">35 × 30 × 4</t>
        </is>
      </c>
      <c r="O286" t="inlineStr">
        <is>
          <t xml:space="preserve">0,55</t>
        </is>
      </c>
      <c r="P286" t="inlineStr">
        <is>
          <t xml:space="preserve">2038096168470</t>
        </is>
      </c>
      <c r="Q286" s="3" t="str">
        <f>HYPERLINK("https://modify.by/img/175381855/1.webp","фото")</f>
        <v>фото</v>
      </c>
      <c r="R286" s="3" t="str">
        <f>HYPERLINK("https://modify.by/catalog/pidzhaki/175381855/?utm_source=price&amp;utm_medium=xlsx","открыть")</f>
        <v>открыть</v>
      </c>
    </row>
    <row r="287">
      <c r="A287" t="inlineStr">
        <is>
          <t xml:space="preserve">Женский</t>
        </is>
      </c>
      <c r="B287" t="inlineStr">
        <is>
          <t xml:space="preserve">Пиджаки</t>
        </is>
      </c>
      <c r="C287" t="inlineStr">
        <is>
          <t xml:space="preserve">Пиджак приталенный с карманами, салатовый</t>
        </is>
      </c>
      <c r="D287" t="inlineStr">
        <is>
          <t xml:space="preserve">BL32W011Салатовый</t>
        </is>
      </c>
      <c r="E287" t="inlineStr">
        <is>
          <t xml:space="preserve">салатовый</t>
        </is>
      </c>
      <c r="F287" t="inlineStr">
        <is>
          <t xml:space="preserve">44</t>
        </is>
      </c>
      <c r="G287">
        <v>1</v>
      </c>
      <c r="H287" s="2">
        <v>60.0</v>
      </c>
      <c r="I287" t="inlineStr">
        <is>
          <t xml:space="preserve">Полиэстер 65% хлопок 30% эластан 5%</t>
        </is>
      </c>
      <c r="J287"/>
      <c r="K287" t="inlineStr">
        <is>
          <t xml:space="preserve">Бангладеш</t>
        </is>
      </c>
      <c r="L287" t="inlineStr">
        <is>
          <t xml:space="preserve">6204339000</t>
        </is>
      </c>
      <c r="M287" t="inlineStr">
        <is>
          <t xml:space="preserve">Декларация № ЕАЭС № BY/112 11.01. ТР017 122.01 08246, до 19.04.2028</t>
        </is>
      </c>
      <c r="N287" t="inlineStr">
        <is>
          <t xml:space="preserve">35 × 30 × 4</t>
        </is>
      </c>
      <c r="O287" t="inlineStr">
        <is>
          <t xml:space="preserve">0,55</t>
        </is>
      </c>
      <c r="P287" t="inlineStr">
        <is>
          <t xml:space="preserve">2038096168562</t>
        </is>
      </c>
      <c r="Q287" s="3" t="str">
        <f>HYPERLINK("https://modify.by/img/175381854/1.webp","фото")</f>
        <v>фото</v>
      </c>
      <c r="R287" s="3" t="str">
        <f>HYPERLINK("https://modify.by/catalog/pidzhaki/175381854/?utm_source=price&amp;utm_medium=xlsx","открыть")</f>
        <v>открыть</v>
      </c>
    </row>
    <row r="288">
      <c r="A288" t="inlineStr">
        <is>
          <t xml:space="preserve">Женский</t>
        </is>
      </c>
      <c r="B288" t="inlineStr">
        <is>
          <t xml:space="preserve">Пиджаки</t>
        </is>
      </c>
      <c r="C288" t="inlineStr">
        <is>
          <t xml:space="preserve">Пиджак приталенный с карманами, салатовый</t>
        </is>
      </c>
      <c r="D288" t="inlineStr">
        <is>
          <t xml:space="preserve">BL32W011Салатовый</t>
        </is>
      </c>
      <c r="E288" t="inlineStr">
        <is>
          <t xml:space="preserve">салатовый</t>
        </is>
      </c>
      <c r="F288" t="inlineStr">
        <is>
          <t xml:space="preserve">44</t>
        </is>
      </c>
      <c r="G288">
        <v>1</v>
      </c>
      <c r="H288" s="2">
        <v>60.0</v>
      </c>
      <c r="I288" t="inlineStr">
        <is>
          <t xml:space="preserve">Полиэстер 65% хлопок 30% эластан 5%</t>
        </is>
      </c>
      <c r="J288"/>
      <c r="K288" t="inlineStr">
        <is>
          <t xml:space="preserve">Бангладеш</t>
        </is>
      </c>
      <c r="L288" t="inlineStr">
        <is>
          <t xml:space="preserve">6204339000</t>
        </is>
      </c>
      <c r="M288" t="inlineStr">
        <is>
          <t xml:space="preserve">Декларация № ЕАЭС № BY/112 11.01. ТР017 122.01 08246, до 19.04.2028</t>
        </is>
      </c>
      <c r="N288" t="inlineStr">
        <is>
          <t xml:space="preserve">35 × 30 × 4</t>
        </is>
      </c>
      <c r="O288" t="inlineStr">
        <is>
          <t xml:space="preserve">0,55</t>
        </is>
      </c>
      <c r="P288" t="inlineStr">
        <is>
          <t xml:space="preserve">4816148118134</t>
        </is>
      </c>
      <c r="Q288" s="3" t="str">
        <f>HYPERLINK("https://modify.by/img/175381854/1.webp","фото")</f>
        <v>фото</v>
      </c>
      <c r="R288" s="3" t="str">
        <f>HYPERLINK("https://modify.by/catalog/pidzhaki/175381854/?utm_source=price&amp;utm_medium=xlsx","открыть")</f>
        <v>открыть</v>
      </c>
    </row>
    <row r="289">
      <c r="A289" t="inlineStr">
        <is>
          <t xml:space="preserve">Женский</t>
        </is>
      </c>
      <c r="B289" t="inlineStr">
        <is>
          <t xml:space="preserve">Пиджаки</t>
        </is>
      </c>
      <c r="C289" t="inlineStr">
        <is>
          <t xml:space="preserve">Пиджак приталенный с карманами, салатовый</t>
        </is>
      </c>
      <c r="D289" t="inlineStr">
        <is>
          <t xml:space="preserve">BL32W011Салатовый</t>
        </is>
      </c>
      <c r="E289" t="inlineStr">
        <is>
          <t xml:space="preserve">салатовый</t>
        </is>
      </c>
      <c r="F289" t="inlineStr">
        <is>
          <t xml:space="preserve">46</t>
        </is>
      </c>
      <c r="G289">
        <v>1</v>
      </c>
      <c r="H289" s="2">
        <v>60.0</v>
      </c>
      <c r="I289" t="inlineStr">
        <is>
          <t xml:space="preserve">Полиэстер 65% хлопок 30% эластан 5%</t>
        </is>
      </c>
      <c r="J289"/>
      <c r="K289" t="inlineStr">
        <is>
          <t xml:space="preserve">Бангладеш</t>
        </is>
      </c>
      <c r="L289" t="inlineStr">
        <is>
          <t xml:space="preserve">6204339000</t>
        </is>
      </c>
      <c r="M289" t="inlineStr">
        <is>
          <t xml:space="preserve">Декларация № ЕАЭС № BY/112 11.01. ТР017 122.01 08246, до 19.04.2028</t>
        </is>
      </c>
      <c r="N289" t="inlineStr">
        <is>
          <t xml:space="preserve">35 × 30 × 4</t>
        </is>
      </c>
      <c r="O289" t="inlineStr">
        <is>
          <t xml:space="preserve">0,55</t>
        </is>
      </c>
      <c r="P289" t="inlineStr">
        <is>
          <t xml:space="preserve">2038096168579</t>
        </is>
      </c>
      <c r="Q289" s="3" t="str">
        <f>HYPERLINK("https://modify.by/img/175381854/1.webp","фото")</f>
        <v>фото</v>
      </c>
      <c r="R289" s="3" t="str">
        <f>HYPERLINK("https://modify.by/catalog/pidzhaki/175381854/?utm_source=price&amp;utm_medium=xlsx","открыть")</f>
        <v>открыть</v>
      </c>
    </row>
    <row r="290">
      <c r="A290" t="inlineStr">
        <is>
          <t xml:space="preserve">Женский</t>
        </is>
      </c>
      <c r="B290" t="inlineStr">
        <is>
          <t xml:space="preserve">Пиджаки</t>
        </is>
      </c>
      <c r="C290" t="inlineStr">
        <is>
          <t xml:space="preserve">Пиджак приталенный с карманами, салатовый</t>
        </is>
      </c>
      <c r="D290" t="inlineStr">
        <is>
          <t xml:space="preserve">BL32W011Салатовый</t>
        </is>
      </c>
      <c r="E290" t="inlineStr">
        <is>
          <t xml:space="preserve">салатовый</t>
        </is>
      </c>
      <c r="F290" t="inlineStr">
        <is>
          <t xml:space="preserve">46</t>
        </is>
      </c>
      <c r="G290">
        <v>1</v>
      </c>
      <c r="H290" s="2">
        <v>60.0</v>
      </c>
      <c r="I290" t="inlineStr">
        <is>
          <t xml:space="preserve">Полиэстер 65% хлопок 30% эластан 5%</t>
        </is>
      </c>
      <c r="J290"/>
      <c r="K290" t="inlineStr">
        <is>
          <t xml:space="preserve">Бангладеш</t>
        </is>
      </c>
      <c r="L290" t="inlineStr">
        <is>
          <t xml:space="preserve">6204339000</t>
        </is>
      </c>
      <c r="M290" t="inlineStr">
        <is>
          <t xml:space="preserve">Декларация № ЕАЭС № BY/112 11.01. ТР017 122.01 08246, до 19.04.2028</t>
        </is>
      </c>
      <c r="N290" t="inlineStr">
        <is>
          <t xml:space="preserve">35 × 30 × 4</t>
        </is>
      </c>
      <c r="O290" t="inlineStr">
        <is>
          <t xml:space="preserve">0,55</t>
        </is>
      </c>
      <c r="P290" t="inlineStr">
        <is>
          <t xml:space="preserve">4816148118141</t>
        </is>
      </c>
      <c r="Q290" s="3" t="str">
        <f>HYPERLINK("https://modify.by/img/175381854/1.webp","фото")</f>
        <v>фото</v>
      </c>
      <c r="R290" s="3" t="str">
        <f>HYPERLINK("https://modify.by/catalog/pidzhaki/175381854/?utm_source=price&amp;utm_medium=xlsx","открыть")</f>
        <v>открыть</v>
      </c>
    </row>
    <row r="291">
      <c r="A291" t="inlineStr">
        <is>
          <t xml:space="preserve">Женский</t>
        </is>
      </c>
      <c r="B291" t="inlineStr">
        <is>
          <t xml:space="preserve">Пиджаки</t>
        </is>
      </c>
      <c r="C291" t="inlineStr">
        <is>
          <t xml:space="preserve">Пиджак приталенный с карманами, салатовый</t>
        </is>
      </c>
      <c r="D291" t="inlineStr">
        <is>
          <t xml:space="preserve">BL32W011Салатовый</t>
        </is>
      </c>
      <c r="E291" t="inlineStr">
        <is>
          <t xml:space="preserve">салатовый</t>
        </is>
      </c>
      <c r="F291" t="inlineStr">
        <is>
          <t xml:space="preserve">48</t>
        </is>
      </c>
      <c r="G291">
        <v>1</v>
      </c>
      <c r="H291" s="2">
        <v>60.0</v>
      </c>
      <c r="I291" t="inlineStr">
        <is>
          <t xml:space="preserve">Полиэстер 65% хлопок 30% эластан 5%</t>
        </is>
      </c>
      <c r="J291"/>
      <c r="K291" t="inlineStr">
        <is>
          <t xml:space="preserve">Бангладеш</t>
        </is>
      </c>
      <c r="L291" t="inlineStr">
        <is>
          <t xml:space="preserve">6204339000</t>
        </is>
      </c>
      <c r="M291" t="inlineStr">
        <is>
          <t xml:space="preserve">Декларация № ЕАЭС № BY/112 11.01. ТР017 122.01 08246, до 19.04.2028</t>
        </is>
      </c>
      <c r="N291" t="inlineStr">
        <is>
          <t xml:space="preserve">35 × 30 × 4</t>
        </is>
      </c>
      <c r="O291" t="inlineStr">
        <is>
          <t xml:space="preserve">0,55</t>
        </is>
      </c>
      <c r="P291" t="inlineStr">
        <is>
          <t xml:space="preserve">2038096168586</t>
        </is>
      </c>
      <c r="Q291" s="3" t="str">
        <f>HYPERLINK("https://modify.by/img/175381854/1.webp","фото")</f>
        <v>фото</v>
      </c>
      <c r="R291" s="3" t="str">
        <f>HYPERLINK("https://modify.by/catalog/pidzhaki/175381854/?utm_source=price&amp;utm_medium=xlsx","открыть")</f>
        <v>открыть</v>
      </c>
    </row>
    <row r="292">
      <c r="A292" t="inlineStr">
        <is>
          <t xml:space="preserve">Женский</t>
        </is>
      </c>
      <c r="B292" t="inlineStr">
        <is>
          <t xml:space="preserve">Пиджаки</t>
        </is>
      </c>
      <c r="C292" t="inlineStr">
        <is>
          <t xml:space="preserve">Пиджак приталенный с карманами, салатовый</t>
        </is>
      </c>
      <c r="D292" t="inlineStr">
        <is>
          <t xml:space="preserve">BL32W011Салатовый</t>
        </is>
      </c>
      <c r="E292" t="inlineStr">
        <is>
          <t xml:space="preserve">салатовый</t>
        </is>
      </c>
      <c r="F292" t="inlineStr">
        <is>
          <t xml:space="preserve">48</t>
        </is>
      </c>
      <c r="G292">
        <v>1</v>
      </c>
      <c r="H292" s="2">
        <v>60.0</v>
      </c>
      <c r="I292" t="inlineStr">
        <is>
          <t xml:space="preserve">Полиэстер 65% хлопок 30% эластан 5%</t>
        </is>
      </c>
      <c r="J292"/>
      <c r="K292" t="inlineStr">
        <is>
          <t xml:space="preserve">Бангладеш</t>
        </is>
      </c>
      <c r="L292" t="inlineStr">
        <is>
          <t xml:space="preserve">6204339000</t>
        </is>
      </c>
      <c r="M292" t="inlineStr">
        <is>
          <t xml:space="preserve">Декларация № ЕАЭС № BY/112 11.01. ТР017 122.01 08246, до 19.04.2028</t>
        </is>
      </c>
      <c r="N292" t="inlineStr">
        <is>
          <t xml:space="preserve">35 × 30 × 4</t>
        </is>
      </c>
      <c r="O292" t="inlineStr">
        <is>
          <t xml:space="preserve">0,55</t>
        </is>
      </c>
      <c r="P292" t="inlineStr">
        <is>
          <t xml:space="preserve">4816148118158</t>
        </is>
      </c>
      <c r="Q292" s="3" t="str">
        <f>HYPERLINK("https://modify.by/img/175381854/1.webp","фото")</f>
        <v>фото</v>
      </c>
      <c r="R292" s="3" t="str">
        <f>HYPERLINK("https://modify.by/catalog/pidzhaki/175381854/?utm_source=price&amp;utm_medium=xlsx","открыть")</f>
        <v>открыть</v>
      </c>
    </row>
    <row r="293">
      <c r="A293" t="inlineStr">
        <is>
          <t xml:space="preserve">Женский</t>
        </is>
      </c>
      <c r="B293" t="inlineStr">
        <is>
          <t xml:space="preserve">Пиджаки</t>
        </is>
      </c>
      <c r="C293" t="inlineStr">
        <is>
          <t xml:space="preserve">Пиджак приталенный с карманами, синий</t>
        </is>
      </c>
      <c r="D293" t="inlineStr">
        <is>
          <t xml:space="preserve">BL32W011Синий</t>
        </is>
      </c>
      <c r="E293" t="inlineStr">
        <is>
          <t xml:space="preserve">синий</t>
        </is>
      </c>
      <c r="F293" t="inlineStr">
        <is>
          <t xml:space="preserve">56</t>
        </is>
      </c>
      <c r="G293">
        <v>1</v>
      </c>
      <c r="H293" s="2">
        <v>60.0</v>
      </c>
      <c r="I293" t="inlineStr">
        <is>
          <t xml:space="preserve">Полиэстер 65% хлопок 30% эластан 5%</t>
        </is>
      </c>
      <c r="J293"/>
      <c r="K293" t="inlineStr">
        <is>
          <t xml:space="preserve">Бангладеш</t>
        </is>
      </c>
      <c r="L293" t="inlineStr">
        <is>
          <t xml:space="preserve">6204339000</t>
        </is>
      </c>
      <c r="M293" t="inlineStr">
        <is>
          <t xml:space="preserve">Декларация № ЕАЭС № BY/112 11.01. ТР017 122.01 08246, до 19.04.2028</t>
        </is>
      </c>
      <c r="N293" t="inlineStr">
        <is>
          <t xml:space="preserve">35 × 30 × 4</t>
        </is>
      </c>
      <c r="O293" t="inlineStr">
        <is>
          <t xml:space="preserve">0,55</t>
        </is>
      </c>
      <c r="P293" t="inlineStr">
        <is>
          <t xml:space="preserve">2038096168555</t>
        </is>
      </c>
      <c r="Q293" s="3" t="str">
        <f>HYPERLINK("https://modify.by/img/175381853/1.webp","фото")</f>
        <v>фото</v>
      </c>
      <c r="R293" s="3" t="str">
        <f>HYPERLINK("https://modify.by/catalog/pidzhaki/175381853/?utm_source=price&amp;utm_medium=xlsx","открыть")</f>
        <v>открыть</v>
      </c>
    </row>
    <row r="294">
      <c r="A294" t="inlineStr">
        <is>
          <t xml:space="preserve">Женский</t>
        </is>
      </c>
      <c r="B294" t="inlineStr">
        <is>
          <t xml:space="preserve">Пиджаки</t>
        </is>
      </c>
      <c r="C294" t="inlineStr">
        <is>
          <t xml:space="preserve">Пиджак приталенный с карманами, ярко-розовый</t>
        </is>
      </c>
      <c r="D294" t="inlineStr">
        <is>
          <t xml:space="preserve">BL32W011Ярко-розовый</t>
        </is>
      </c>
      <c r="E294" t="inlineStr">
        <is>
          <t xml:space="preserve">ярко-розовый</t>
        </is>
      </c>
      <c r="F294" t="inlineStr">
        <is>
          <t xml:space="preserve">46</t>
        </is>
      </c>
      <c r="G294">
        <v>1</v>
      </c>
      <c r="H294" s="2">
        <v>60.0</v>
      </c>
      <c r="I294" t="inlineStr">
        <is>
          <t xml:space="preserve">95% полиэстер, 5% эластан</t>
        </is>
      </c>
      <c r="J294"/>
      <c r="K294" t="inlineStr">
        <is>
          <t xml:space="preserve">Бангладеш</t>
        </is>
      </c>
      <c r="L294" t="inlineStr">
        <is>
          <t xml:space="preserve">6204339000</t>
        </is>
      </c>
      <c r="M294" t="inlineStr">
        <is>
          <t xml:space="preserve">Декларация № ЕАЭС № BY/112 11.01. ТР017 122.01 08246, до 19.04.2028</t>
        </is>
      </c>
      <c r="N294" t="inlineStr">
        <is>
          <t xml:space="preserve">26 × 30 × 5</t>
        </is>
      </c>
      <c r="O294" t="inlineStr">
        <is>
          <t xml:space="preserve">0,55</t>
        </is>
      </c>
      <c r="P294" t="inlineStr">
        <is>
          <t xml:space="preserve">2038096164304</t>
        </is>
      </c>
      <c r="Q294" s="3" t="str">
        <f>HYPERLINK("https://modify.by/img/173321054/1.webp","фото")</f>
        <v>фото</v>
      </c>
      <c r="R294" s="3" t="str">
        <f>HYPERLINK("https://modify.by/catalog/pidzhaki/173321054/?utm_source=price&amp;utm_medium=xlsx","открыть")</f>
        <v>открыть</v>
      </c>
    </row>
    <row r="295">
      <c r="A295" t="inlineStr">
        <is>
          <t xml:space="preserve">Женский</t>
        </is>
      </c>
      <c r="B295" t="inlineStr">
        <is>
          <t xml:space="preserve">Пижамы</t>
        </is>
      </c>
      <c r="C295" t="inlineStr">
        <is>
          <t xml:space="preserve">Пижама фланелевая на пуговицах рубашка и брюки, белый</t>
        </is>
      </c>
      <c r="D295" t="inlineStr">
        <is>
          <t xml:space="preserve">PJ42W01белый,розовый</t>
        </is>
      </c>
      <c r="E295" t="inlineStr">
        <is>
          <t xml:space="preserve">белый, розовый</t>
        </is>
      </c>
      <c r="F295" t="inlineStr">
        <is>
          <t xml:space="preserve">42-44</t>
        </is>
      </c>
      <c r="G295">
        <v>1</v>
      </c>
      <c r="H295" s="2">
        <v>53.0</v>
      </c>
      <c r="I295" t="inlineStr">
        <is>
          <t xml:space="preserve">100% хлопок</t>
        </is>
      </c>
      <c r="J295"/>
      <c r="K295" t="inlineStr">
        <is>
          <t xml:space="preserve">Бангладеш</t>
        </is>
      </c>
      <c r="L295" t="inlineStr">
        <is>
          <t xml:space="preserve">6108310000</t>
        </is>
      </c>
      <c r="M295" t="inlineStr">
        <is>
          <t xml:space="preserve">Декларация № ЕАЭС № BY/112 11.01. ТР017 122.01 08246, до 19.04.2028</t>
        </is>
      </c>
      <c r="N295" t="inlineStr">
        <is>
          <t xml:space="preserve">25 × 32 × 4</t>
        </is>
      </c>
      <c r="O295" t="inlineStr">
        <is>
          <t xml:space="preserve">0,54</t>
        </is>
      </c>
      <c r="P295" t="inlineStr">
        <is>
          <t xml:space="preserve">2038096236230</t>
        </is>
      </c>
      <c r="Q295" s="3" t="str">
        <f>HYPERLINK("https://modify.by/img/270586142/1.webp","фото")</f>
        <v>фото</v>
      </c>
      <c r="R295" s="3" t="str">
        <f>HYPERLINK("https://modify.by/catalog/pizhamy/270586142/?utm_source=price&amp;utm_medium=xlsx","открыть")</f>
        <v>открыть</v>
      </c>
    </row>
    <row r="296">
      <c r="A296" t="inlineStr">
        <is>
          <t xml:space="preserve">Женский</t>
        </is>
      </c>
      <c r="B296" t="inlineStr">
        <is>
          <t xml:space="preserve">Пижамы</t>
        </is>
      </c>
      <c r="C296" t="inlineStr">
        <is>
          <t xml:space="preserve">Пижама фланелевая на пуговицах рубашка и брюки, белый</t>
        </is>
      </c>
      <c r="D296" t="inlineStr">
        <is>
          <t xml:space="preserve">PJ42W01белый,розовый</t>
        </is>
      </c>
      <c r="E296" t="inlineStr">
        <is>
          <t xml:space="preserve">белый, розовый</t>
        </is>
      </c>
      <c r="F296" t="inlineStr">
        <is>
          <t xml:space="preserve">42-44</t>
        </is>
      </c>
      <c r="G296">
        <v>1</v>
      </c>
      <c r="H296" s="2">
        <v>53.0</v>
      </c>
      <c r="I296" t="inlineStr">
        <is>
          <t xml:space="preserve">100% хлопок</t>
        </is>
      </c>
      <c r="J296"/>
      <c r="K296" t="inlineStr">
        <is>
          <t xml:space="preserve">Бангладеш</t>
        </is>
      </c>
      <c r="L296" t="inlineStr">
        <is>
          <t xml:space="preserve">6108310000</t>
        </is>
      </c>
      <c r="M296" t="inlineStr">
        <is>
          <t xml:space="preserve">Декларация № ЕАЭС № BY/112 11.01. ТР017 122.01 08246, до 19.04.2028</t>
        </is>
      </c>
      <c r="N296" t="inlineStr">
        <is>
          <t xml:space="preserve">25 × 32 × 4</t>
        </is>
      </c>
      <c r="O296" t="inlineStr">
        <is>
          <t xml:space="preserve">0,54</t>
        </is>
      </c>
      <c r="P296" t="inlineStr">
        <is>
          <t xml:space="preserve">4816148169839</t>
        </is>
      </c>
      <c r="Q296" s="3" t="str">
        <f>HYPERLINK("https://modify.by/img/270586142/1.webp","фото")</f>
        <v>фото</v>
      </c>
      <c r="R296" s="3" t="str">
        <f>HYPERLINK("https://modify.by/catalog/pizhamy/270586142/?utm_source=price&amp;utm_medium=xlsx","открыть")</f>
        <v>открыть</v>
      </c>
    </row>
    <row r="297">
      <c r="A297" t="inlineStr">
        <is>
          <t xml:space="preserve">Женский</t>
        </is>
      </c>
      <c r="B297" t="inlineStr">
        <is>
          <t xml:space="preserve">Пижамы</t>
        </is>
      </c>
      <c r="C297" t="inlineStr">
        <is>
          <t xml:space="preserve">Пижама фланелевая на пуговицах рубашка и брюки, красный</t>
        </is>
      </c>
      <c r="D297" t="inlineStr">
        <is>
          <t xml:space="preserve">PJ42W01красный,синий</t>
        </is>
      </c>
      <c r="E297" t="inlineStr">
        <is>
          <t xml:space="preserve">красный, синий</t>
        </is>
      </c>
      <c r="F297" t="inlineStr">
        <is>
          <t xml:space="preserve">40-42</t>
        </is>
      </c>
      <c r="G297">
        <v>2</v>
      </c>
      <c r="H297" s="2">
        <v>53.0</v>
      </c>
      <c r="I297" t="inlineStr">
        <is>
          <t xml:space="preserve">100% хлопок</t>
        </is>
      </c>
      <c r="J297"/>
      <c r="K297" t="inlineStr">
        <is>
          <t xml:space="preserve">Бангладеш</t>
        </is>
      </c>
      <c r="L297" t="inlineStr">
        <is>
          <t xml:space="preserve">6108310000</t>
        </is>
      </c>
      <c r="M297" t="inlineStr">
        <is>
          <t xml:space="preserve">Декларация № ЕАЭС № BY/112 11.01. ТР017 122.01 08246, до 19.04.2028</t>
        </is>
      </c>
      <c r="N297" t="inlineStr">
        <is>
          <t xml:space="preserve">36 × 30 × 3</t>
        </is>
      </c>
      <c r="O297" t="inlineStr">
        <is>
          <t xml:space="preserve">0,54</t>
        </is>
      </c>
      <c r="P297" t="inlineStr">
        <is>
          <t xml:space="preserve">2038096236124</t>
        </is>
      </c>
      <c r="Q297" s="3" t="str">
        <f>HYPERLINK("https://modify.by/img/270586140/1.webp","фото")</f>
        <v>фото</v>
      </c>
      <c r="R297" s="3" t="str">
        <f>HYPERLINK("https://modify.by/catalog/pizhamy/270586140/?utm_source=price&amp;utm_medium=xlsx","открыть")</f>
        <v>открыть</v>
      </c>
    </row>
    <row r="298">
      <c r="A298" t="inlineStr">
        <is>
          <t xml:space="preserve">Женский</t>
        </is>
      </c>
      <c r="B298" t="inlineStr">
        <is>
          <t xml:space="preserve">Пижамы</t>
        </is>
      </c>
      <c r="C298" t="inlineStr">
        <is>
          <t xml:space="preserve">Пижама фланелевая на пуговицах рубашка и брюки, красный</t>
        </is>
      </c>
      <c r="D298" t="inlineStr">
        <is>
          <t xml:space="preserve">PJ42W01красный,синий</t>
        </is>
      </c>
      <c r="E298" t="inlineStr">
        <is>
          <t xml:space="preserve">красный, синий</t>
        </is>
      </c>
      <c r="F298" t="inlineStr">
        <is>
          <t xml:space="preserve">40-42</t>
        </is>
      </c>
      <c r="G298">
        <v>2</v>
      </c>
      <c r="H298" s="2">
        <v>53.0</v>
      </c>
      <c r="I298" t="inlineStr">
        <is>
          <t xml:space="preserve">100% хлопок</t>
        </is>
      </c>
      <c r="J298"/>
      <c r="K298" t="inlineStr">
        <is>
          <t xml:space="preserve">Бангладеш</t>
        </is>
      </c>
      <c r="L298" t="inlineStr">
        <is>
          <t xml:space="preserve">6108310000</t>
        </is>
      </c>
      <c r="M298" t="inlineStr">
        <is>
          <t xml:space="preserve">Декларация № ЕАЭС № BY/112 11.01. ТР017 122.01 08246, до 19.04.2028</t>
        </is>
      </c>
      <c r="N298" t="inlineStr">
        <is>
          <t xml:space="preserve">36 × 30 × 3</t>
        </is>
      </c>
      <c r="O298" t="inlineStr">
        <is>
          <t xml:space="preserve">0,54</t>
        </is>
      </c>
      <c r="P298" t="inlineStr">
        <is>
          <t xml:space="preserve">4816148169853</t>
        </is>
      </c>
      <c r="Q298" s="3" t="str">
        <f>HYPERLINK("https://modify.by/img/270586140/1.webp","фото")</f>
        <v>фото</v>
      </c>
      <c r="R298" s="3" t="str">
        <f>HYPERLINK("https://modify.by/catalog/pizhamy/270586140/?utm_source=price&amp;utm_medium=xlsx","открыть")</f>
        <v>открыть</v>
      </c>
    </row>
    <row r="299">
      <c r="A299" t="inlineStr">
        <is>
          <t xml:space="preserve">Женский</t>
        </is>
      </c>
      <c r="B299" t="inlineStr">
        <is>
          <t xml:space="preserve">Пижамы</t>
        </is>
      </c>
      <c r="C299" t="inlineStr">
        <is>
          <t xml:space="preserve">Пижама фланелевая на пуговицах рубашка и брюки, красный</t>
        </is>
      </c>
      <c r="D299" t="inlineStr">
        <is>
          <t xml:space="preserve">PJ42W01красный,синий</t>
        </is>
      </c>
      <c r="E299" t="inlineStr">
        <is>
          <t xml:space="preserve">красный, синий</t>
        </is>
      </c>
      <c r="F299" t="inlineStr">
        <is>
          <t xml:space="preserve">42-44</t>
        </is>
      </c>
      <c r="G299">
        <v>1</v>
      </c>
      <c r="H299" s="2">
        <v>53.0</v>
      </c>
      <c r="I299" t="inlineStr">
        <is>
          <t xml:space="preserve">100% хлопок</t>
        </is>
      </c>
      <c r="J299"/>
      <c r="K299" t="inlineStr">
        <is>
          <t xml:space="preserve">Бангладеш</t>
        </is>
      </c>
      <c r="L299" t="inlineStr">
        <is>
          <t xml:space="preserve">6108310000</t>
        </is>
      </c>
      <c r="M299" t="inlineStr">
        <is>
          <t xml:space="preserve">Декларация № ЕАЭС № BY/112 11.01. ТР017 122.01 08246, до 19.04.2028</t>
        </is>
      </c>
      <c r="N299" t="inlineStr">
        <is>
          <t xml:space="preserve">36 × 30 × 3</t>
        </is>
      </c>
      <c r="O299" t="inlineStr">
        <is>
          <t xml:space="preserve">0,54</t>
        </is>
      </c>
      <c r="P299" t="inlineStr">
        <is>
          <t xml:space="preserve">2038096236131</t>
        </is>
      </c>
      <c r="Q299" s="3" t="str">
        <f>HYPERLINK("https://modify.by/img/270586140/1.webp","фото")</f>
        <v>фото</v>
      </c>
      <c r="R299" s="3" t="str">
        <f>HYPERLINK("https://modify.by/catalog/pizhamy/270586140/?utm_source=price&amp;utm_medium=xlsx","открыть")</f>
        <v>открыть</v>
      </c>
    </row>
    <row r="300">
      <c r="A300" t="inlineStr">
        <is>
          <t xml:space="preserve">Женский</t>
        </is>
      </c>
      <c r="B300" t="inlineStr">
        <is>
          <t xml:space="preserve">Пижамы</t>
        </is>
      </c>
      <c r="C300" t="inlineStr">
        <is>
          <t xml:space="preserve">Пижама фланелевая на пуговицах рубашка и брюки, красный</t>
        </is>
      </c>
      <c r="D300" t="inlineStr">
        <is>
          <t xml:space="preserve">PJ42W01красный,синий</t>
        </is>
      </c>
      <c r="E300" t="inlineStr">
        <is>
          <t xml:space="preserve">красный, синий</t>
        </is>
      </c>
      <c r="F300" t="inlineStr">
        <is>
          <t xml:space="preserve">42-44</t>
        </is>
      </c>
      <c r="G300">
        <v>1</v>
      </c>
      <c r="H300" s="2">
        <v>53.0</v>
      </c>
      <c r="I300" t="inlineStr">
        <is>
          <t xml:space="preserve">100% хлопок</t>
        </is>
      </c>
      <c r="J300"/>
      <c r="K300" t="inlineStr">
        <is>
          <t xml:space="preserve">Бангладеш</t>
        </is>
      </c>
      <c r="L300" t="inlineStr">
        <is>
          <t xml:space="preserve">6108310000</t>
        </is>
      </c>
      <c r="M300" t="inlineStr">
        <is>
          <t xml:space="preserve">Декларация № ЕАЭС № BY/112 11.01. ТР017 122.01 08246, до 19.04.2028</t>
        </is>
      </c>
      <c r="N300" t="inlineStr">
        <is>
          <t xml:space="preserve">36 × 30 × 3</t>
        </is>
      </c>
      <c r="O300" t="inlineStr">
        <is>
          <t xml:space="preserve">0,54</t>
        </is>
      </c>
      <c r="P300" t="inlineStr">
        <is>
          <t xml:space="preserve">4816148182678</t>
        </is>
      </c>
      <c r="Q300" s="3" t="str">
        <f>HYPERLINK("https://modify.by/img/270586140/1.webp","фото")</f>
        <v>фото</v>
      </c>
      <c r="R300" s="3" t="str">
        <f>HYPERLINK("https://modify.by/catalog/pizhamy/270586140/?utm_source=price&amp;utm_medium=xlsx","открыть")</f>
        <v>открыть</v>
      </c>
    </row>
    <row r="301">
      <c r="A301" t="inlineStr">
        <is>
          <t xml:space="preserve">Женский</t>
        </is>
      </c>
      <c r="B301" t="inlineStr">
        <is>
          <t xml:space="preserve">Пижамы</t>
        </is>
      </c>
      <c r="C301" t="inlineStr">
        <is>
          <t xml:space="preserve">Пижама фланелевая на пуговицах рубашка и брюки, красный</t>
        </is>
      </c>
      <c r="D301" t="inlineStr">
        <is>
          <t xml:space="preserve">PJ42W01красный,синий</t>
        </is>
      </c>
      <c r="E301" t="inlineStr">
        <is>
          <t xml:space="preserve">красный, синий</t>
        </is>
      </c>
      <c r="F301" t="inlineStr">
        <is>
          <t xml:space="preserve">46-48</t>
        </is>
      </c>
      <c r="G301">
        <v>7</v>
      </c>
      <c r="H301" s="2">
        <v>53.0</v>
      </c>
      <c r="I301" t="inlineStr">
        <is>
          <t xml:space="preserve">100% хлопок</t>
        </is>
      </c>
      <c r="J301"/>
      <c r="K301" t="inlineStr">
        <is>
          <t xml:space="preserve">Бангладеш</t>
        </is>
      </c>
      <c r="L301" t="inlineStr">
        <is>
          <t xml:space="preserve">6108310000</t>
        </is>
      </c>
      <c r="M301" t="inlineStr">
        <is>
          <t xml:space="preserve">Декларация № ЕАЭС № BY/112 11.01. ТР017 122.01 08246, до 19.04.2028</t>
        </is>
      </c>
      <c r="N301" t="inlineStr">
        <is>
          <t xml:space="preserve">36 × 30 × 3</t>
        </is>
      </c>
      <c r="O301" t="inlineStr">
        <is>
          <t xml:space="preserve">0,54</t>
        </is>
      </c>
      <c r="P301" t="inlineStr">
        <is>
          <t xml:space="preserve">2038096236148</t>
        </is>
      </c>
      <c r="Q301" s="3" t="str">
        <f>HYPERLINK("https://modify.by/img/270586140/1.webp","фото")</f>
        <v>фото</v>
      </c>
      <c r="R301" s="3" t="str">
        <f>HYPERLINK("https://modify.by/catalog/pizhamy/270586140/?utm_source=price&amp;utm_medium=xlsx","открыть")</f>
        <v>открыть</v>
      </c>
    </row>
    <row r="302">
      <c r="A302" t="inlineStr">
        <is>
          <t xml:space="preserve">Женский</t>
        </is>
      </c>
      <c r="B302" t="inlineStr">
        <is>
          <t xml:space="preserve">Пижамы</t>
        </is>
      </c>
      <c r="C302" t="inlineStr">
        <is>
          <t xml:space="preserve">Пижама фланелевая на пуговицах рубашка и брюки, красный</t>
        </is>
      </c>
      <c r="D302" t="inlineStr">
        <is>
          <t xml:space="preserve">PJ42W01красный,синий</t>
        </is>
      </c>
      <c r="E302" t="inlineStr">
        <is>
          <t xml:space="preserve">красный, синий</t>
        </is>
      </c>
      <c r="F302" t="inlineStr">
        <is>
          <t xml:space="preserve">46-48</t>
        </is>
      </c>
      <c r="G302">
        <v>7</v>
      </c>
      <c r="H302" s="2">
        <v>53.0</v>
      </c>
      <c r="I302" t="inlineStr">
        <is>
          <t xml:space="preserve">100% хлопок</t>
        </is>
      </c>
      <c r="J302"/>
      <c r="K302" t="inlineStr">
        <is>
          <t xml:space="preserve">Бангладеш</t>
        </is>
      </c>
      <c r="L302" t="inlineStr">
        <is>
          <t xml:space="preserve">6108310000</t>
        </is>
      </c>
      <c r="M302" t="inlineStr">
        <is>
          <t xml:space="preserve">Декларация № ЕАЭС № BY/112 11.01. ТР017 122.01 08246, до 19.04.2028</t>
        </is>
      </c>
      <c r="N302" t="inlineStr">
        <is>
          <t xml:space="preserve">36 × 30 × 3</t>
        </is>
      </c>
      <c r="O302" t="inlineStr">
        <is>
          <t xml:space="preserve">0,54</t>
        </is>
      </c>
      <c r="P302" t="inlineStr">
        <is>
          <t xml:space="preserve">4816148170071</t>
        </is>
      </c>
      <c r="Q302" s="3" t="str">
        <f>HYPERLINK("https://modify.by/img/270586140/1.webp","фото")</f>
        <v>фото</v>
      </c>
      <c r="R302" s="3" t="str">
        <f>HYPERLINK("https://modify.by/catalog/pizhamy/270586140/?utm_source=price&amp;utm_medium=xlsx","открыть")</f>
        <v>открыть</v>
      </c>
    </row>
    <row r="303">
      <c r="A303" t="inlineStr">
        <is>
          <t xml:space="preserve">Женский</t>
        </is>
      </c>
      <c r="B303" t="inlineStr">
        <is>
          <t xml:space="preserve">Пижамы</t>
        </is>
      </c>
      <c r="C303" t="inlineStr">
        <is>
          <t xml:space="preserve">Рубашка пижамная фланелевая</t>
        </is>
      </c>
      <c r="D303" t="inlineStr">
        <is>
          <t xml:space="preserve">SH12M02белый,розовый</t>
        </is>
      </c>
      <c r="E303" t="inlineStr">
        <is>
          <t xml:space="preserve">белый, розовый</t>
        </is>
      </c>
      <c r="F303" t="inlineStr">
        <is>
          <t xml:space="preserve">46-48</t>
        </is>
      </c>
      <c r="G303">
        <v>2</v>
      </c>
      <c r="H303" s="2">
        <v>27.0</v>
      </c>
      <c r="I303" t="inlineStr">
        <is>
          <t xml:space="preserve">100% хлопок</t>
        </is>
      </c>
      <c r="J303"/>
      <c r="K303" t="inlineStr">
        <is>
          <t xml:space="preserve">Бангладеш</t>
        </is>
      </c>
      <c r="L303" t="inlineStr">
        <is>
          <t xml:space="preserve">6106100000</t>
        </is>
      </c>
      <c r="M303" t="inlineStr">
        <is>
          <t xml:space="preserve">по запросу</t>
        </is>
      </c>
      <c r="N303" t="inlineStr">
        <is>
          <t xml:space="preserve">35 × 30 × 3</t>
        </is>
      </c>
      <c r="O303" t="inlineStr">
        <is>
          <t xml:space="preserve">0,28</t>
        </is>
      </c>
      <c r="P303" t="inlineStr">
        <is>
          <t xml:space="preserve">4816148151582</t>
        </is>
      </c>
      <c r="Q303" s="3" t="str">
        <f>HYPERLINK("https://modify.by/img/276209404/1.webp","фото")</f>
        <v>фото</v>
      </c>
      <c r="R303" s="3" t="str">
        <f>HYPERLINK("https://modify.by/catalog/pizhamy/276209404/?utm_source=price&amp;utm_medium=xlsx","открыть")</f>
        <v>открыть</v>
      </c>
    </row>
    <row r="304">
      <c r="A304" t="inlineStr">
        <is>
          <t xml:space="preserve">Женский</t>
        </is>
      </c>
      <c r="B304" t="inlineStr">
        <is>
          <t xml:space="preserve">Платки</t>
        </is>
      </c>
      <c r="C304" t="inlineStr">
        <is>
          <t xml:space="preserve">Платок косынка ажурная вязаная крючком</t>
        </is>
      </c>
      <c r="D304" t="inlineStr">
        <is>
          <t xml:space="preserve">T2KC42W03белый</t>
        </is>
      </c>
      <c r="E304" t="inlineStr">
        <is>
          <t xml:space="preserve">белый</t>
        </is>
      </c>
      <c r="F304" t="inlineStr">
        <is>
          <t xml:space="preserve">0</t>
        </is>
      </c>
      <c r="G304">
        <v>25</v>
      </c>
      <c r="H304" s="2">
        <v>12.0</v>
      </c>
      <c r="I304" t="inlineStr">
        <is>
          <t xml:space="preserve">хлопок, полиэстер</t>
        </is>
      </c>
      <c r="J304"/>
      <c r="K304" t="inlineStr">
        <is>
          <t xml:space="preserve">Китай</t>
        </is>
      </c>
      <c r="L304" t="inlineStr">
        <is>
          <t xml:space="preserve">6117100000</t>
        </is>
      </c>
      <c r="M304" t="inlineStr">
        <is>
          <t xml:space="preserve">по запросу</t>
        </is>
      </c>
      <c r="N304" t="inlineStr">
        <is>
          <t xml:space="preserve">18 × 11 × 2</t>
        </is>
      </c>
      <c r="O304" t="inlineStr">
        <is>
          <t xml:space="preserve">0,15</t>
        </is>
      </c>
      <c r="P304" t="inlineStr">
        <is>
          <t xml:space="preserve">4816148171429</t>
        </is>
      </c>
      <c r="Q304" s="3" t="str">
        <f>HYPERLINK("https://modify.by/img/598435696/1.webp","фото")</f>
        <v>фото</v>
      </c>
      <c r="R304" s="3" t="str">
        <f>HYPERLINK("https://modify.by/catalog/platki/598435696/?utm_source=price&amp;utm_medium=xlsx","открыть")</f>
        <v>открыть</v>
      </c>
    </row>
    <row r="305">
      <c r="A305" t="inlineStr">
        <is>
          <t xml:space="preserve">Женский</t>
        </is>
      </c>
      <c r="B305" t="inlineStr">
        <is>
          <t xml:space="preserve">Платья</t>
        </is>
      </c>
      <c r="C305" t="inlineStr">
        <is>
          <t xml:space="preserve">Платье лапша короткое облегающее, бежевый</t>
        </is>
      </c>
      <c r="D305" t="inlineStr">
        <is>
          <t xml:space="preserve">DR32W06бежевый</t>
        </is>
      </c>
      <c r="E305" t="inlineStr">
        <is>
          <t xml:space="preserve">бежевый</t>
        </is>
      </c>
      <c r="F305" t="inlineStr">
        <is>
          <t xml:space="preserve">42</t>
        </is>
      </c>
      <c r="G305">
        <v>33</v>
      </c>
      <c r="H305" s="2">
        <v>28.0</v>
      </c>
      <c r="I305" t="inlineStr">
        <is>
          <t xml:space="preserve">Хлопок 95% Эластан 5%</t>
        </is>
      </c>
      <c r="J305"/>
      <c r="K305" t="inlineStr">
        <is>
          <t xml:space="preserve">Бангладеш</t>
        </is>
      </c>
      <c r="L305" t="inlineStr">
        <is>
          <t xml:space="preserve">6204420000</t>
        </is>
      </c>
      <c r="M305" t="inlineStr">
        <is>
          <t xml:space="preserve">Декларация № ЕАЭС № BY/112 11.01. ТР017 122.01 08246, до 19.04.2028</t>
        </is>
      </c>
      <c r="N305" t="inlineStr">
        <is>
          <t xml:space="preserve">29 × 35 × 2</t>
        </is>
      </c>
      <c r="O305" t="inlineStr">
        <is>
          <t xml:space="preserve">0,45</t>
        </is>
      </c>
      <c r="P305" t="inlineStr">
        <is>
          <t xml:space="preserve">2038096197661</t>
        </is>
      </c>
      <c r="Q305" s="3" t="str">
        <f>HYPERLINK("https://modify.by/img/208758048/1.webp","фото")</f>
        <v>фото</v>
      </c>
      <c r="R305" s="3" t="str">
        <f>HYPERLINK("https://modify.by/catalog/platya/208758048/?utm_source=price&amp;utm_medium=xlsx","открыть")</f>
        <v>открыть</v>
      </c>
    </row>
    <row r="306">
      <c r="A306" t="inlineStr">
        <is>
          <t xml:space="preserve">Женский</t>
        </is>
      </c>
      <c r="B306" t="inlineStr">
        <is>
          <t xml:space="preserve">Платья</t>
        </is>
      </c>
      <c r="C306" t="inlineStr">
        <is>
          <t xml:space="preserve">Платье лапша короткое облегающее, бежевый</t>
        </is>
      </c>
      <c r="D306" t="inlineStr">
        <is>
          <t xml:space="preserve">DR32W06бежевый</t>
        </is>
      </c>
      <c r="E306" t="inlineStr">
        <is>
          <t xml:space="preserve">бежевый</t>
        </is>
      </c>
      <c r="F306" t="inlineStr">
        <is>
          <t xml:space="preserve">42</t>
        </is>
      </c>
      <c r="G306">
        <v>33</v>
      </c>
      <c r="H306" s="2">
        <v>28.0</v>
      </c>
      <c r="I306" t="inlineStr">
        <is>
          <t xml:space="preserve">Хлопок 95% Эластан 5%</t>
        </is>
      </c>
      <c r="J306"/>
      <c r="K306" t="inlineStr">
        <is>
          <t xml:space="preserve">Бангладеш</t>
        </is>
      </c>
      <c r="L306" t="inlineStr">
        <is>
          <t xml:space="preserve">6204420000</t>
        </is>
      </c>
      <c r="M306" t="inlineStr">
        <is>
          <t xml:space="preserve">Декларация № ЕАЭС № BY/112 11.01. ТР017 122.01 08246, до 19.04.2028</t>
        </is>
      </c>
      <c r="N306" t="inlineStr">
        <is>
          <t xml:space="preserve">29 × 35 × 2</t>
        </is>
      </c>
      <c r="O306" t="inlineStr">
        <is>
          <t xml:space="preserve">0,45</t>
        </is>
      </c>
      <c r="P306" t="inlineStr">
        <is>
          <t xml:space="preserve">4816148108821</t>
        </is>
      </c>
      <c r="Q306" s="3" t="str">
        <f>HYPERLINK("https://modify.by/img/208758048/1.webp","фото")</f>
        <v>фото</v>
      </c>
      <c r="R306" s="3" t="str">
        <f>HYPERLINK("https://modify.by/catalog/platya/208758048/?utm_source=price&amp;utm_medium=xlsx","открыть")</f>
        <v>открыть</v>
      </c>
    </row>
    <row r="307">
      <c r="A307" t="inlineStr">
        <is>
          <t xml:space="preserve">Женский</t>
        </is>
      </c>
      <c r="B307" t="inlineStr">
        <is>
          <t xml:space="preserve">Платья</t>
        </is>
      </c>
      <c r="C307" t="inlineStr">
        <is>
          <t xml:space="preserve">Платье лапша короткое облегающее, бежевый</t>
        </is>
      </c>
      <c r="D307" t="inlineStr">
        <is>
          <t xml:space="preserve">DR32W06бежевый</t>
        </is>
      </c>
      <c r="E307" t="inlineStr">
        <is>
          <t xml:space="preserve">бежевый</t>
        </is>
      </c>
      <c r="F307" t="inlineStr">
        <is>
          <t xml:space="preserve">44</t>
        </is>
      </c>
      <c r="G307">
        <v>15</v>
      </c>
      <c r="H307" s="2">
        <v>28.0</v>
      </c>
      <c r="I307" t="inlineStr">
        <is>
          <t xml:space="preserve">Хлопок 95% Эластан 5%</t>
        </is>
      </c>
      <c r="J307"/>
      <c r="K307" t="inlineStr">
        <is>
          <t xml:space="preserve">Бангладеш</t>
        </is>
      </c>
      <c r="L307" t="inlineStr">
        <is>
          <t xml:space="preserve">6204420000</t>
        </is>
      </c>
      <c r="M307" t="inlineStr">
        <is>
          <t xml:space="preserve">Декларация № ЕАЭС № BY/112 11.01. ТР017 122.01 08246, до 19.04.2028</t>
        </is>
      </c>
      <c r="N307" t="inlineStr">
        <is>
          <t xml:space="preserve">29 × 35 × 2</t>
        </is>
      </c>
      <c r="O307" t="inlineStr">
        <is>
          <t xml:space="preserve">0,45</t>
        </is>
      </c>
      <c r="P307" t="inlineStr">
        <is>
          <t xml:space="preserve">2038096197678</t>
        </is>
      </c>
      <c r="Q307" s="3" t="str">
        <f>HYPERLINK("https://modify.by/img/208758048/1.webp","фото")</f>
        <v>фото</v>
      </c>
      <c r="R307" s="3" t="str">
        <f>HYPERLINK("https://modify.by/catalog/platya/208758048/?utm_source=price&amp;utm_medium=xlsx","открыть")</f>
        <v>открыть</v>
      </c>
    </row>
    <row r="308">
      <c r="A308" t="inlineStr">
        <is>
          <t xml:space="preserve">Женский</t>
        </is>
      </c>
      <c r="B308" t="inlineStr">
        <is>
          <t xml:space="preserve">Платья</t>
        </is>
      </c>
      <c r="C308" t="inlineStr">
        <is>
          <t xml:space="preserve">Платье лапша короткое облегающее, бежевый</t>
        </is>
      </c>
      <c r="D308" t="inlineStr">
        <is>
          <t xml:space="preserve">DR32W06бежевый</t>
        </is>
      </c>
      <c r="E308" t="inlineStr">
        <is>
          <t xml:space="preserve">бежевый</t>
        </is>
      </c>
      <c r="F308" t="inlineStr">
        <is>
          <t xml:space="preserve">44</t>
        </is>
      </c>
      <c r="G308">
        <v>15</v>
      </c>
      <c r="H308" s="2">
        <v>28.0</v>
      </c>
      <c r="I308" t="inlineStr">
        <is>
          <t xml:space="preserve">Хлопок 95% Эластан 5%</t>
        </is>
      </c>
      <c r="J308"/>
      <c r="K308" t="inlineStr">
        <is>
          <t xml:space="preserve">Бангладеш</t>
        </is>
      </c>
      <c r="L308" t="inlineStr">
        <is>
          <t xml:space="preserve">6204420000</t>
        </is>
      </c>
      <c r="M308" t="inlineStr">
        <is>
          <t xml:space="preserve">Декларация № ЕАЭС № BY/112 11.01. ТР017 122.01 08246, до 19.04.2028</t>
        </is>
      </c>
      <c r="N308" t="inlineStr">
        <is>
          <t xml:space="preserve">29 × 35 × 2</t>
        </is>
      </c>
      <c r="O308" t="inlineStr">
        <is>
          <t xml:space="preserve">0,45</t>
        </is>
      </c>
      <c r="P308" t="inlineStr">
        <is>
          <t xml:space="preserve">4816148108838</t>
        </is>
      </c>
      <c r="Q308" s="3" t="str">
        <f>HYPERLINK("https://modify.by/img/208758048/1.webp","фото")</f>
        <v>фото</v>
      </c>
      <c r="R308" s="3" t="str">
        <f>HYPERLINK("https://modify.by/catalog/platya/208758048/?utm_source=price&amp;utm_medium=xlsx","открыть")</f>
        <v>открыть</v>
      </c>
    </row>
    <row r="309">
      <c r="A309" t="inlineStr">
        <is>
          <t xml:space="preserve">Женский</t>
        </is>
      </c>
      <c r="B309" t="inlineStr">
        <is>
          <t xml:space="preserve">Платья</t>
        </is>
      </c>
      <c r="C309" t="inlineStr">
        <is>
          <t xml:space="preserve">Платье лапша короткое облегающее, белый</t>
        </is>
      </c>
      <c r="D309" t="inlineStr">
        <is>
          <t xml:space="preserve">DR32W06белый</t>
        </is>
      </c>
      <c r="E309" t="inlineStr">
        <is>
          <t xml:space="preserve">белый</t>
        </is>
      </c>
      <c r="F309" t="inlineStr">
        <is>
          <t xml:space="preserve">40</t>
        </is>
      </c>
      <c r="G309">
        <v>1</v>
      </c>
      <c r="H309" s="2">
        <v>28.0</v>
      </c>
      <c r="I309" t="inlineStr">
        <is>
          <t xml:space="preserve">Хлопок 95% Эластан 5%</t>
        </is>
      </c>
      <c r="J309"/>
      <c r="K309" t="inlineStr">
        <is>
          <t xml:space="preserve">Бангладеш</t>
        </is>
      </c>
      <c r="L309" t="inlineStr">
        <is>
          <t xml:space="preserve">6204420000</t>
        </is>
      </c>
      <c r="M309" t="inlineStr">
        <is>
          <t xml:space="preserve">Декларация № ЕАЭС № BY/112 11.01. ТР017 122.01 08246, до 19.04.2028</t>
        </is>
      </c>
      <c r="N309" t="inlineStr">
        <is>
          <t xml:space="preserve">31 × 35 × 2</t>
        </is>
      </c>
      <c r="O309" t="inlineStr">
        <is>
          <t xml:space="preserve">0,45</t>
        </is>
      </c>
      <c r="P309" t="inlineStr">
        <is>
          <t xml:space="preserve">2038096197579</t>
        </is>
      </c>
      <c r="Q309" s="3" t="str">
        <f>HYPERLINK("https://modify.by/img/208758047/1.webp","фото")</f>
        <v>фото</v>
      </c>
      <c r="R309" s="3" t="str">
        <f>HYPERLINK("https://modify.by/catalog/platya/208758047/?utm_source=price&amp;utm_medium=xlsx","открыть")</f>
        <v>открыть</v>
      </c>
    </row>
    <row r="310">
      <c r="A310" t="inlineStr">
        <is>
          <t xml:space="preserve">Женский</t>
        </is>
      </c>
      <c r="B310" t="inlineStr">
        <is>
          <t xml:space="preserve">Платья</t>
        </is>
      </c>
      <c r="C310" t="inlineStr">
        <is>
          <t xml:space="preserve">Платье лапша короткое облегающее, белый</t>
        </is>
      </c>
      <c r="D310" t="inlineStr">
        <is>
          <t xml:space="preserve">DR32W06белый</t>
        </is>
      </c>
      <c r="E310" t="inlineStr">
        <is>
          <t xml:space="preserve">белый</t>
        </is>
      </c>
      <c r="F310" t="inlineStr">
        <is>
          <t xml:space="preserve">42</t>
        </is>
      </c>
      <c r="G310">
        <v>4</v>
      </c>
      <c r="H310" s="2">
        <v>28.0</v>
      </c>
      <c r="I310" t="inlineStr">
        <is>
          <t xml:space="preserve">Хлопок 95% Эластан 5%</t>
        </is>
      </c>
      <c r="J310"/>
      <c r="K310" t="inlineStr">
        <is>
          <t xml:space="preserve">Бангладеш</t>
        </is>
      </c>
      <c r="L310" t="inlineStr">
        <is>
          <t xml:space="preserve">6204420000</t>
        </is>
      </c>
      <c r="M310" t="inlineStr">
        <is>
          <t xml:space="preserve">Декларация № ЕАЭС № BY/112 11.01. ТР017 122.01 08246, до 19.04.2028</t>
        </is>
      </c>
      <c r="N310" t="inlineStr">
        <is>
          <t xml:space="preserve">31 × 35 × 2</t>
        </is>
      </c>
      <c r="O310" t="inlineStr">
        <is>
          <t xml:space="preserve">0,45</t>
        </is>
      </c>
      <c r="P310" t="inlineStr">
        <is>
          <t xml:space="preserve">2038096197586</t>
        </is>
      </c>
      <c r="Q310" s="3" t="str">
        <f>HYPERLINK("https://modify.by/img/208758047/1.webp","фото")</f>
        <v>фото</v>
      </c>
      <c r="R310" s="3" t="str">
        <f>HYPERLINK("https://modify.by/catalog/platya/208758047/?utm_source=price&amp;utm_medium=xlsx","открыть")</f>
        <v>открыть</v>
      </c>
    </row>
    <row r="311">
      <c r="A311" t="inlineStr">
        <is>
          <t xml:space="preserve">Женский</t>
        </is>
      </c>
      <c r="B311" t="inlineStr">
        <is>
          <t xml:space="preserve">Платья</t>
        </is>
      </c>
      <c r="C311" t="inlineStr">
        <is>
          <t xml:space="preserve">Платье лапша короткое облегающее, белый</t>
        </is>
      </c>
      <c r="D311" t="inlineStr">
        <is>
          <t xml:space="preserve">DR32W06белый</t>
        </is>
      </c>
      <c r="E311" t="inlineStr">
        <is>
          <t xml:space="preserve">белый</t>
        </is>
      </c>
      <c r="F311" t="inlineStr">
        <is>
          <t xml:space="preserve">42</t>
        </is>
      </c>
      <c r="G311">
        <v>4</v>
      </c>
      <c r="H311" s="2">
        <v>28.0</v>
      </c>
      <c r="I311" t="inlineStr">
        <is>
          <t xml:space="preserve">Хлопок 95% Эластан 5%</t>
        </is>
      </c>
      <c r="J311"/>
      <c r="K311" t="inlineStr">
        <is>
          <t xml:space="preserve">Бангладеш</t>
        </is>
      </c>
      <c r="L311" t="inlineStr">
        <is>
          <t xml:space="preserve">6204420000</t>
        </is>
      </c>
      <c r="M311" t="inlineStr">
        <is>
          <t xml:space="preserve">Декларация № ЕАЭС № BY/112 11.01. ТР017 122.01 08246, до 19.04.2028</t>
        </is>
      </c>
      <c r="N311" t="inlineStr">
        <is>
          <t xml:space="preserve">31 × 35 × 2</t>
        </is>
      </c>
      <c r="O311" t="inlineStr">
        <is>
          <t xml:space="preserve">0,45</t>
        </is>
      </c>
      <c r="P311" t="inlineStr">
        <is>
          <t xml:space="preserve">4816148108869</t>
        </is>
      </c>
      <c r="Q311" s="3" t="str">
        <f>HYPERLINK("https://modify.by/img/208758047/1.webp","фото")</f>
        <v>фото</v>
      </c>
      <c r="R311" s="3" t="str">
        <f>HYPERLINK("https://modify.by/catalog/platya/208758047/?utm_source=price&amp;utm_medium=xlsx","открыть")</f>
        <v>открыть</v>
      </c>
    </row>
    <row r="312">
      <c r="A312" t="inlineStr">
        <is>
          <t xml:space="preserve">Женский</t>
        </is>
      </c>
      <c r="B312" t="inlineStr">
        <is>
          <t xml:space="preserve">Платья</t>
        </is>
      </c>
      <c r="C312" t="inlineStr">
        <is>
          <t xml:space="preserve">Платье лапша короткое облегающее, белый</t>
        </is>
      </c>
      <c r="D312" t="inlineStr">
        <is>
          <t xml:space="preserve">DR32W06белый</t>
        </is>
      </c>
      <c r="E312" t="inlineStr">
        <is>
          <t xml:space="preserve">белый</t>
        </is>
      </c>
      <c r="F312" t="inlineStr">
        <is>
          <t xml:space="preserve">44</t>
        </is>
      </c>
      <c r="G312">
        <v>2</v>
      </c>
      <c r="H312" s="2">
        <v>28.0</v>
      </c>
      <c r="I312" t="inlineStr">
        <is>
          <t xml:space="preserve">Хлопок 95% Эластан 5%</t>
        </is>
      </c>
      <c r="J312"/>
      <c r="K312" t="inlineStr">
        <is>
          <t xml:space="preserve">Бангладеш</t>
        </is>
      </c>
      <c r="L312" t="inlineStr">
        <is>
          <t xml:space="preserve">6204420000</t>
        </is>
      </c>
      <c r="M312" t="inlineStr">
        <is>
          <t xml:space="preserve">Декларация № ЕАЭС № BY/112 11.01. ТР017 122.01 08246, до 19.04.2028</t>
        </is>
      </c>
      <c r="N312" t="inlineStr">
        <is>
          <t xml:space="preserve">31 × 35 × 2</t>
        </is>
      </c>
      <c r="O312" t="inlineStr">
        <is>
          <t xml:space="preserve">0,45</t>
        </is>
      </c>
      <c r="P312" t="inlineStr">
        <is>
          <t xml:space="preserve">2038096197593</t>
        </is>
      </c>
      <c r="Q312" s="3" t="str">
        <f>HYPERLINK("https://modify.by/img/208758047/1.webp","фото")</f>
        <v>фото</v>
      </c>
      <c r="R312" s="3" t="str">
        <f>HYPERLINK("https://modify.by/catalog/platya/208758047/?utm_source=price&amp;utm_medium=xlsx","открыть")</f>
        <v>открыть</v>
      </c>
    </row>
    <row r="313">
      <c r="A313" t="inlineStr">
        <is>
          <t xml:space="preserve">Женский</t>
        </is>
      </c>
      <c r="B313" t="inlineStr">
        <is>
          <t xml:space="preserve">Платья</t>
        </is>
      </c>
      <c r="C313" t="inlineStr">
        <is>
          <t xml:space="preserve">Платье лапша короткое облегающее, черный</t>
        </is>
      </c>
      <c r="D313" t="inlineStr">
        <is>
          <t xml:space="preserve">DR32W06черный</t>
        </is>
      </c>
      <c r="E313" t="inlineStr">
        <is>
          <t xml:space="preserve">черный</t>
        </is>
      </c>
      <c r="F313" t="inlineStr">
        <is>
          <t xml:space="preserve">42</t>
        </is>
      </c>
      <c r="G313">
        <v>56</v>
      </c>
      <c r="H313" s="2">
        <v>28.0</v>
      </c>
      <c r="I313" t="inlineStr">
        <is>
          <t xml:space="preserve">Хлопок 95% Эластан 5%</t>
        </is>
      </c>
      <c r="J313"/>
      <c r="K313" t="inlineStr">
        <is>
          <t xml:space="preserve">Бангладеш</t>
        </is>
      </c>
      <c r="L313" t="inlineStr">
        <is>
          <t xml:space="preserve">6204420000</t>
        </is>
      </c>
      <c r="M313" t="inlineStr">
        <is>
          <t xml:space="preserve">Декларация № ЕАЭС № BY/112 11.01. ТР017 122.01 08246, до 19.04.2028</t>
        </is>
      </c>
      <c r="N313" t="inlineStr">
        <is>
          <t xml:space="preserve">35 × 30 × 2</t>
        </is>
      </c>
      <c r="O313" t="inlineStr">
        <is>
          <t xml:space="preserve">0,45</t>
        </is>
      </c>
      <c r="P313" t="inlineStr">
        <is>
          <t xml:space="preserve">2038096197548</t>
        </is>
      </c>
      <c r="Q313" s="3" t="str">
        <f>HYPERLINK("https://modify.by/img/208758043/1.webp","фото")</f>
        <v>фото</v>
      </c>
      <c r="R313" s="3" t="str">
        <f>HYPERLINK("https://modify.by/catalog/platya/208758043/?utm_source=price&amp;utm_medium=xlsx","открыть")</f>
        <v>открыть</v>
      </c>
    </row>
    <row r="314">
      <c r="A314" t="inlineStr">
        <is>
          <t xml:space="preserve">Женский</t>
        </is>
      </c>
      <c r="B314" t="inlineStr">
        <is>
          <t xml:space="preserve">Платья</t>
        </is>
      </c>
      <c r="C314" t="inlineStr">
        <is>
          <t xml:space="preserve">Платье лапша короткое облегающее, черный</t>
        </is>
      </c>
      <c r="D314" t="inlineStr">
        <is>
          <t xml:space="preserve">DR32W06черный</t>
        </is>
      </c>
      <c r="E314" t="inlineStr">
        <is>
          <t xml:space="preserve">черный</t>
        </is>
      </c>
      <c r="F314" t="inlineStr">
        <is>
          <t xml:space="preserve">42</t>
        </is>
      </c>
      <c r="G314">
        <v>56</v>
      </c>
      <c r="H314" s="2">
        <v>28.0</v>
      </c>
      <c r="I314" t="inlineStr">
        <is>
          <t xml:space="preserve">Хлопок 95% Эластан 5%</t>
        </is>
      </c>
      <c r="J314"/>
      <c r="K314" t="inlineStr">
        <is>
          <t xml:space="preserve">Бангладеш</t>
        </is>
      </c>
      <c r="L314" t="inlineStr">
        <is>
          <t xml:space="preserve">6204420000</t>
        </is>
      </c>
      <c r="M314" t="inlineStr">
        <is>
          <t xml:space="preserve">Декларация № ЕАЭС № BY/112 11.01. ТР017 122.01 08246, до 19.04.2028</t>
        </is>
      </c>
      <c r="N314" t="inlineStr">
        <is>
          <t xml:space="preserve">35 × 30 × 2</t>
        </is>
      </c>
      <c r="O314" t="inlineStr">
        <is>
          <t xml:space="preserve">0,45</t>
        </is>
      </c>
      <c r="P314" t="inlineStr">
        <is>
          <t xml:space="preserve">4816148108920</t>
        </is>
      </c>
      <c r="Q314" s="3" t="str">
        <f>HYPERLINK("https://modify.by/img/208758043/1.webp","фото")</f>
        <v>фото</v>
      </c>
      <c r="R314" s="3" t="str">
        <f>HYPERLINK("https://modify.by/catalog/platya/208758043/?utm_source=price&amp;utm_medium=xlsx","открыть")</f>
        <v>открыть</v>
      </c>
    </row>
    <row r="315">
      <c r="A315" t="inlineStr">
        <is>
          <t xml:space="preserve">Женский</t>
        </is>
      </c>
      <c r="B315" t="inlineStr">
        <is>
          <t xml:space="preserve">Платья</t>
        </is>
      </c>
      <c r="C315" t="inlineStr">
        <is>
          <t xml:space="preserve">Платье летнее хлопок оверсайз ярусное мини</t>
        </is>
      </c>
      <c r="D315" t="inlineStr">
        <is>
          <t xml:space="preserve">DR32W05ярко-розовый</t>
        </is>
      </c>
      <c r="E315" t="inlineStr">
        <is>
          <t xml:space="preserve">ярко-розовый, фуксия, малиновый</t>
        </is>
      </c>
      <c r="F315" t="inlineStr">
        <is>
          <t xml:space="preserve">46</t>
        </is>
      </c>
      <c r="G315">
        <v>11</v>
      </c>
      <c r="H315" s="2">
        <v>53.0</v>
      </c>
      <c r="I315" t="inlineStr">
        <is>
          <t xml:space="preserve">100% хлопок</t>
        </is>
      </c>
      <c r="J315"/>
      <c r="K315" t="inlineStr">
        <is>
          <t xml:space="preserve">Бангладеш</t>
        </is>
      </c>
      <c r="L315" t="inlineStr">
        <is>
          <t xml:space="preserve">6204420000</t>
        </is>
      </c>
      <c r="M315" t="inlineStr">
        <is>
          <t xml:space="preserve">Декларация № ЕАЭС № BY/112 11.01. ТР017 122.01 08246, до 19.04.2028</t>
        </is>
      </c>
      <c r="N315" t="inlineStr">
        <is>
          <t xml:space="preserve">28 × 32 × 4</t>
        </is>
      </c>
      <c r="O315" t="inlineStr">
        <is>
          <t xml:space="preserve">0,42</t>
        </is>
      </c>
      <c r="P315" t="inlineStr">
        <is>
          <t xml:space="preserve">2038096198286</t>
        </is>
      </c>
      <c r="Q315" s="3" t="str">
        <f>HYPERLINK("https://modify.by/img/215275365/1.webp","фото")</f>
        <v>фото</v>
      </c>
      <c r="R315" s="3" t="str">
        <f>HYPERLINK("https://modify.by/catalog/platya/215275365/?utm_source=price&amp;utm_medium=xlsx","открыть")</f>
        <v>открыть</v>
      </c>
    </row>
    <row r="316">
      <c r="A316" t="inlineStr">
        <is>
          <t xml:space="preserve">Женский</t>
        </is>
      </c>
      <c r="B316" t="inlineStr">
        <is>
          <t xml:space="preserve">Платья</t>
        </is>
      </c>
      <c r="C316" t="inlineStr">
        <is>
          <t xml:space="preserve">Платье летнее хлопок оверсайз ярусное мини</t>
        </is>
      </c>
      <c r="D316" t="inlineStr">
        <is>
          <t xml:space="preserve">DR32W05ярко-розовый</t>
        </is>
      </c>
      <c r="E316" t="inlineStr">
        <is>
          <t xml:space="preserve">ярко-розовый, фуксия, малиновый</t>
        </is>
      </c>
      <c r="F316" t="inlineStr">
        <is>
          <t xml:space="preserve">46</t>
        </is>
      </c>
      <c r="G316">
        <v>11</v>
      </c>
      <c r="H316" s="2">
        <v>53.0</v>
      </c>
      <c r="I316" t="inlineStr">
        <is>
          <t xml:space="preserve">100% хлопок</t>
        </is>
      </c>
      <c r="J316"/>
      <c r="K316" t="inlineStr">
        <is>
          <t xml:space="preserve">Бангладеш</t>
        </is>
      </c>
      <c r="L316" t="inlineStr">
        <is>
          <t xml:space="preserve">6204420000</t>
        </is>
      </c>
      <c r="M316" t="inlineStr">
        <is>
          <t xml:space="preserve">Декларация № ЕАЭС № BY/112 11.01. ТР017 122.01 08246, до 19.04.2028</t>
        </is>
      </c>
      <c r="N316" t="inlineStr">
        <is>
          <t xml:space="preserve">28 × 32 × 4</t>
        </is>
      </c>
      <c r="O316" t="inlineStr">
        <is>
          <t xml:space="preserve">0,42</t>
        </is>
      </c>
      <c r="P316" t="inlineStr">
        <is>
          <t xml:space="preserve">4816148110237</t>
        </is>
      </c>
      <c r="Q316" s="3" t="str">
        <f>HYPERLINK("https://modify.by/img/215275365/1.webp","фото")</f>
        <v>фото</v>
      </c>
      <c r="R316" s="3" t="str">
        <f>HYPERLINK("https://modify.by/catalog/platya/215275365/?utm_source=price&amp;utm_medium=xlsx","открыть")</f>
        <v>открыть</v>
      </c>
    </row>
    <row r="317">
      <c r="A317" t="inlineStr">
        <is>
          <t xml:space="preserve">Женский</t>
        </is>
      </c>
      <c r="B317" t="inlineStr">
        <is>
          <t xml:space="preserve">Платья</t>
        </is>
      </c>
      <c r="C317" t="inlineStr">
        <is>
          <t xml:space="preserve">Платье теплое с пышными рукавами, изумрудно-зеленый</t>
        </is>
      </c>
      <c r="D317" t="inlineStr">
        <is>
          <t xml:space="preserve">DR62W01темно-зеленый</t>
        </is>
      </c>
      <c r="E317" t="inlineStr">
        <is>
          <t xml:space="preserve">изумрудно-зеленый, темно-зеленый</t>
        </is>
      </c>
      <c r="F317" t="inlineStr">
        <is>
          <t xml:space="preserve">42-44</t>
        </is>
      </c>
      <c r="G317">
        <v>1</v>
      </c>
      <c r="H317" s="2">
        <v>38.0</v>
      </c>
      <c r="I317" t="inlineStr">
        <is>
          <t xml:space="preserve">вискоза 50%, ПЭ 30%, эластан 20%</t>
        </is>
      </c>
      <c r="J317"/>
      <c r="K317" t="inlineStr">
        <is>
          <t xml:space="preserve">Бангладеш</t>
        </is>
      </c>
      <c r="L317" t="inlineStr">
        <is>
          <t xml:space="preserve">6204420000</t>
        </is>
      </c>
      <c r="M317" t="inlineStr">
        <is>
          <t xml:space="preserve">Декларация № ЕАЭС № BY/112 11.01. ТР017 122.01 08246, до 19.04.2028</t>
        </is>
      </c>
      <c r="N317" t="inlineStr">
        <is>
          <t xml:space="preserve">35 × 28 × 5</t>
        </is>
      </c>
      <c r="O317" t="inlineStr">
        <is>
          <t xml:space="preserve">0,53</t>
        </is>
      </c>
      <c r="P317" t="inlineStr">
        <is>
          <t xml:space="preserve">4816148171566</t>
        </is>
      </c>
      <c r="Q317" s="3" t="str">
        <f>HYPERLINK("https://modify.by/img/618605246/1.webp","фото")</f>
        <v>фото</v>
      </c>
      <c r="R317" s="3" t="str">
        <f>HYPERLINK("https://modify.by/catalog/platya/618605246/?utm_source=price&amp;utm_medium=xlsx","открыть")</f>
        <v>открыть</v>
      </c>
    </row>
    <row r="318">
      <c r="A318" t="inlineStr">
        <is>
          <t xml:space="preserve">Женский</t>
        </is>
      </c>
      <c r="B318" t="inlineStr">
        <is>
          <t xml:space="preserve">Платья</t>
        </is>
      </c>
      <c r="C318" t="inlineStr">
        <is>
          <t xml:space="preserve">Платье теплое с пышными рукавами, изумрудно-зеленый</t>
        </is>
      </c>
      <c r="D318" t="inlineStr">
        <is>
          <t xml:space="preserve">DR62W01темно-зеленый</t>
        </is>
      </c>
      <c r="E318" t="inlineStr">
        <is>
          <t xml:space="preserve">изумрудно-зеленый, темно-зеленый</t>
        </is>
      </c>
      <c r="F318" t="inlineStr">
        <is>
          <t xml:space="preserve">44-46</t>
        </is>
      </c>
      <c r="G318">
        <v>1</v>
      </c>
      <c r="H318" s="2">
        <v>38.0</v>
      </c>
      <c r="I318" t="inlineStr">
        <is>
          <t xml:space="preserve">вискоза 50%, ПЭ 30%, эластан 20%</t>
        </is>
      </c>
      <c r="J318"/>
      <c r="K318" t="inlineStr">
        <is>
          <t xml:space="preserve">Бангладеш</t>
        </is>
      </c>
      <c r="L318" t="inlineStr">
        <is>
          <t xml:space="preserve">6204420000</t>
        </is>
      </c>
      <c r="M318" t="inlineStr">
        <is>
          <t xml:space="preserve">Декларация № ЕАЭС № BY/112 11.01. ТР017 122.01 08246, до 19.04.2028</t>
        </is>
      </c>
      <c r="N318" t="inlineStr">
        <is>
          <t xml:space="preserve">35 × 28 × 5</t>
        </is>
      </c>
      <c r="O318" t="inlineStr">
        <is>
          <t xml:space="preserve">0,53</t>
        </is>
      </c>
      <c r="P318" t="inlineStr">
        <is>
          <t xml:space="preserve">4816148171573</t>
        </is>
      </c>
      <c r="Q318" s="3" t="str">
        <f>HYPERLINK("https://modify.by/img/618605246/1.webp","фото")</f>
        <v>фото</v>
      </c>
      <c r="R318" s="3" t="str">
        <f>HYPERLINK("https://modify.by/catalog/platya/618605246/?utm_source=price&amp;utm_medium=xlsx","открыть")</f>
        <v>открыть</v>
      </c>
    </row>
    <row r="319">
      <c r="A319" t="inlineStr">
        <is>
          <t xml:space="preserve">Женский</t>
        </is>
      </c>
      <c r="B319" t="inlineStr">
        <is>
          <t xml:space="preserve">Платья</t>
        </is>
      </c>
      <c r="C319" t="inlineStr">
        <is>
          <t xml:space="preserve">Платье теплое с пышными рукавами, изумрудно-зеленый</t>
        </is>
      </c>
      <c r="D319" t="inlineStr">
        <is>
          <t xml:space="preserve">DR62W01темно-зеленый</t>
        </is>
      </c>
      <c r="E319" t="inlineStr">
        <is>
          <t xml:space="preserve">изумрудно-зеленый, темно-зеленый</t>
        </is>
      </c>
      <c r="F319" t="inlineStr">
        <is>
          <t xml:space="preserve">46-48</t>
        </is>
      </c>
      <c r="G319">
        <v>1</v>
      </c>
      <c r="H319" s="2">
        <v>38.0</v>
      </c>
      <c r="I319" t="inlineStr">
        <is>
          <t xml:space="preserve">вискоза 50%, ПЭ 30%, эластан 20%</t>
        </is>
      </c>
      <c r="J319"/>
      <c r="K319" t="inlineStr">
        <is>
          <t xml:space="preserve">Бангладеш</t>
        </is>
      </c>
      <c r="L319" t="inlineStr">
        <is>
          <t xml:space="preserve">6204420000</t>
        </is>
      </c>
      <c r="M319" t="inlineStr">
        <is>
          <t xml:space="preserve">Декларация № ЕАЭС № BY/112 11.01. ТР017 122.01 08246, до 19.04.2028</t>
        </is>
      </c>
      <c r="N319" t="inlineStr">
        <is>
          <t xml:space="preserve">35 × 28 × 5</t>
        </is>
      </c>
      <c r="O319" t="inlineStr">
        <is>
          <t xml:space="preserve">0,53</t>
        </is>
      </c>
      <c r="P319" t="inlineStr">
        <is>
          <t xml:space="preserve">4816148171580</t>
        </is>
      </c>
      <c r="Q319" s="3" t="str">
        <f>HYPERLINK("https://modify.by/img/618605246/1.webp","фото")</f>
        <v>фото</v>
      </c>
      <c r="R319" s="3" t="str">
        <f>HYPERLINK("https://modify.by/catalog/platya/618605246/?utm_source=price&amp;utm_medium=xlsx","открыть")</f>
        <v>открыть</v>
      </c>
    </row>
    <row r="320">
      <c r="A320" t="inlineStr">
        <is>
          <t xml:space="preserve">Женский</t>
        </is>
      </c>
      <c r="B320" t="inlineStr">
        <is>
          <t xml:space="preserve">Платья</t>
        </is>
      </c>
      <c r="C320" t="inlineStr">
        <is>
          <t xml:space="preserve">Платье теплое с пышными рукавами, черный</t>
        </is>
      </c>
      <c r="D320" t="inlineStr">
        <is>
          <t xml:space="preserve">DR62W01черный</t>
        </is>
      </c>
      <c r="E320" t="inlineStr">
        <is>
          <t xml:space="preserve">черный</t>
        </is>
      </c>
      <c r="F320" t="inlineStr">
        <is>
          <t xml:space="preserve">42-44</t>
        </is>
      </c>
      <c r="G320">
        <v>24</v>
      </c>
      <c r="H320" s="2">
        <v>38.0</v>
      </c>
      <c r="I320" t="inlineStr">
        <is>
          <t xml:space="preserve">вискоза 50%, ПЭ 30%, эластан 20%</t>
        </is>
      </c>
      <c r="J320"/>
      <c r="K320" t="inlineStr">
        <is>
          <t xml:space="preserve">Бангладеш</t>
        </is>
      </c>
      <c r="L320" t="inlineStr">
        <is>
          <t xml:space="preserve">6204420000</t>
        </is>
      </c>
      <c r="M320" t="inlineStr">
        <is>
          <t xml:space="preserve">Декларация № ЕАЭС № BY/112 11.01. ТР017 122.01 08246, до 19.04.2028</t>
        </is>
      </c>
      <c r="N320" t="inlineStr">
        <is>
          <t xml:space="preserve">35 × 28 × 5</t>
        </is>
      </c>
      <c r="O320" t="inlineStr">
        <is>
          <t xml:space="preserve">0,53</t>
        </is>
      </c>
      <c r="P320" t="inlineStr">
        <is>
          <t xml:space="preserve">4816148171665</t>
        </is>
      </c>
      <c r="Q320" s="3" t="str">
        <f>HYPERLINK("https://modify.by/img/619445436/1.webp","фото")</f>
        <v>фото</v>
      </c>
      <c r="R320" s="3" t="str">
        <f>HYPERLINK("https://modify.by/catalog/platya/619445436/?utm_source=price&amp;utm_medium=xlsx","открыть")</f>
        <v>открыть</v>
      </c>
    </row>
    <row r="321">
      <c r="A321" t="inlineStr">
        <is>
          <t xml:space="preserve">Женский</t>
        </is>
      </c>
      <c r="B321" t="inlineStr">
        <is>
          <t xml:space="preserve">Платья</t>
        </is>
      </c>
      <c r="C321" t="inlineStr">
        <is>
          <t xml:space="preserve">Платье теплое с пышными рукавами, черный</t>
        </is>
      </c>
      <c r="D321" t="inlineStr">
        <is>
          <t xml:space="preserve">DR62W01черный</t>
        </is>
      </c>
      <c r="E321" t="inlineStr">
        <is>
          <t xml:space="preserve">черный</t>
        </is>
      </c>
      <c r="F321" t="inlineStr">
        <is>
          <t xml:space="preserve">44-46</t>
        </is>
      </c>
      <c r="G321">
        <v>31</v>
      </c>
      <c r="H321" s="2">
        <v>38.0</v>
      </c>
      <c r="I321" t="inlineStr">
        <is>
          <t xml:space="preserve">вискоза 50%, ПЭ 30%, эластан 20%</t>
        </is>
      </c>
      <c r="J321"/>
      <c r="K321" t="inlineStr">
        <is>
          <t xml:space="preserve">Бангладеш</t>
        </is>
      </c>
      <c r="L321" t="inlineStr">
        <is>
          <t xml:space="preserve">6204420000</t>
        </is>
      </c>
      <c r="M321" t="inlineStr">
        <is>
          <t xml:space="preserve">Декларация № ЕАЭС № BY/112 11.01. ТР017 122.01 08246, до 19.04.2028</t>
        </is>
      </c>
      <c r="N321" t="inlineStr">
        <is>
          <t xml:space="preserve">35 × 28 × 5</t>
        </is>
      </c>
      <c r="O321" t="inlineStr">
        <is>
          <t xml:space="preserve">0,53</t>
        </is>
      </c>
      <c r="P321" t="inlineStr">
        <is>
          <t xml:space="preserve">4816148171672</t>
        </is>
      </c>
      <c r="Q321" s="3" t="str">
        <f>HYPERLINK("https://modify.by/img/619445436/1.webp","фото")</f>
        <v>фото</v>
      </c>
      <c r="R321" s="3" t="str">
        <f>HYPERLINK("https://modify.by/catalog/platya/619445436/?utm_source=price&amp;utm_medium=xlsx","открыть")</f>
        <v>открыть</v>
      </c>
    </row>
    <row r="322">
      <c r="A322" t="inlineStr">
        <is>
          <t xml:space="preserve">Женский</t>
        </is>
      </c>
      <c r="B322" t="inlineStr">
        <is>
          <t xml:space="preserve">Платья</t>
        </is>
      </c>
      <c r="C322" t="inlineStr">
        <is>
          <t xml:space="preserve">Платье теплое с пышными рукавами, черный</t>
        </is>
      </c>
      <c r="D322" t="inlineStr">
        <is>
          <t xml:space="preserve">DR62W01черный</t>
        </is>
      </c>
      <c r="E322" t="inlineStr">
        <is>
          <t xml:space="preserve">черный</t>
        </is>
      </c>
      <c r="F322" t="inlineStr">
        <is>
          <t xml:space="preserve">46-48</t>
        </is>
      </c>
      <c r="G322">
        <v>23</v>
      </c>
      <c r="H322" s="2">
        <v>38.0</v>
      </c>
      <c r="I322" t="inlineStr">
        <is>
          <t xml:space="preserve">вискоза 50%, ПЭ 30%, эластан 20%</t>
        </is>
      </c>
      <c r="J322"/>
      <c r="K322" t="inlineStr">
        <is>
          <t xml:space="preserve">Бангладеш</t>
        </is>
      </c>
      <c r="L322" t="inlineStr">
        <is>
          <t xml:space="preserve">6204420000</t>
        </is>
      </c>
      <c r="M322" t="inlineStr">
        <is>
          <t xml:space="preserve">Декларация № ЕАЭС № BY/112 11.01. ТР017 122.01 08246, до 19.04.2028</t>
        </is>
      </c>
      <c r="N322" t="inlineStr">
        <is>
          <t xml:space="preserve">35 × 28 × 5</t>
        </is>
      </c>
      <c r="O322" t="inlineStr">
        <is>
          <t xml:space="preserve">0,53</t>
        </is>
      </c>
      <c r="P322" t="inlineStr">
        <is>
          <t xml:space="preserve">4816148171689</t>
        </is>
      </c>
      <c r="Q322" s="3" t="str">
        <f>HYPERLINK("https://modify.by/img/619445436/1.webp","фото")</f>
        <v>фото</v>
      </c>
      <c r="R322" s="3" t="str">
        <f>HYPERLINK("https://modify.by/catalog/platya/619445436/?utm_source=price&amp;utm_medium=xlsx","открыть")</f>
        <v>открыть</v>
      </c>
    </row>
    <row r="323">
      <c r="A323" t="inlineStr">
        <is>
          <t xml:space="preserve">Женский</t>
        </is>
      </c>
      <c r="B323" t="inlineStr">
        <is>
          <t xml:space="preserve">Платья</t>
        </is>
      </c>
      <c r="C323" t="inlineStr">
        <is>
          <t xml:space="preserve">Платье теплое с пышными рукавами, черный</t>
        </is>
      </c>
      <c r="D323" t="inlineStr">
        <is>
          <t xml:space="preserve">DR62W01черный</t>
        </is>
      </c>
      <c r="E323" t="inlineStr">
        <is>
          <t xml:space="preserve">черный</t>
        </is>
      </c>
      <c r="F323" t="inlineStr">
        <is>
          <t xml:space="preserve">48-50</t>
        </is>
      </c>
      <c r="G323">
        <v>11</v>
      </c>
      <c r="H323" s="2">
        <v>38.0</v>
      </c>
      <c r="I323" t="inlineStr">
        <is>
          <t xml:space="preserve">вискоза 50%, ПЭ 30%, эластан 20%</t>
        </is>
      </c>
      <c r="J323"/>
      <c r="K323" t="inlineStr">
        <is>
          <t xml:space="preserve">Бангладеш</t>
        </is>
      </c>
      <c r="L323" t="inlineStr">
        <is>
          <t xml:space="preserve">6204420000</t>
        </is>
      </c>
      <c r="M323" t="inlineStr">
        <is>
          <t xml:space="preserve">Декларация № ЕАЭС № BY/112 11.01. ТР017 122.01 08246, до 19.04.2028</t>
        </is>
      </c>
      <c r="N323" t="inlineStr">
        <is>
          <t xml:space="preserve">35 × 28 × 5</t>
        </is>
      </c>
      <c r="O323" t="inlineStr">
        <is>
          <t xml:space="preserve">0,53</t>
        </is>
      </c>
      <c r="P323" t="inlineStr">
        <is>
          <t xml:space="preserve">4816148171696</t>
        </is>
      </c>
      <c r="Q323" s="3" t="str">
        <f>HYPERLINK("https://modify.by/img/619445436/1.webp","фото")</f>
        <v>фото</v>
      </c>
      <c r="R323" s="3" t="str">
        <f>HYPERLINK("https://modify.by/catalog/platya/619445436/?utm_source=price&amp;utm_medium=xlsx","открыть")</f>
        <v>открыть</v>
      </c>
    </row>
    <row r="324">
      <c r="A324" t="inlineStr">
        <is>
          <t xml:space="preserve">Женский</t>
        </is>
      </c>
      <c r="B324" t="inlineStr">
        <is>
          <t xml:space="preserve">Платья</t>
        </is>
      </c>
      <c r="C324" t="inlineStr">
        <is>
          <t xml:space="preserve">Платье-свитер с пышными рукавами, бежевый</t>
        </is>
      </c>
      <c r="D324" t="inlineStr">
        <is>
          <t xml:space="preserve">DR62W01бежевый</t>
        </is>
      </c>
      <c r="E324" t="inlineStr">
        <is>
          <t xml:space="preserve">бежевый</t>
        </is>
      </c>
      <c r="F324" t="inlineStr">
        <is>
          <t xml:space="preserve">42-44</t>
        </is>
      </c>
      <c r="G324">
        <v>1</v>
      </c>
      <c r="H324" s="2">
        <v>38.0</v>
      </c>
      <c r="I324" t="inlineStr">
        <is>
          <t xml:space="preserve">вискоза 50%, ПЭ 30%, эластан 20%</t>
        </is>
      </c>
      <c r="J324"/>
      <c r="K324" t="inlineStr">
        <is>
          <t xml:space="preserve">Бангладеш</t>
        </is>
      </c>
      <c r="L324" t="inlineStr">
        <is>
          <t xml:space="preserve">6204420000</t>
        </is>
      </c>
      <c r="M324" t="inlineStr">
        <is>
          <t xml:space="preserve">Декларация № ЕАЭС № BY/112 11.01. ТР017 122.01 08246, до 19.04.2028</t>
        </is>
      </c>
      <c r="N324" t="inlineStr">
        <is>
          <t xml:space="preserve">35 × 28 × 5</t>
        </is>
      </c>
      <c r="O324" t="inlineStr">
        <is>
          <t xml:space="preserve">0,53</t>
        </is>
      </c>
      <c r="P324" t="inlineStr">
        <is>
          <t xml:space="preserve">4816148171436</t>
        </is>
      </c>
      <c r="Q324" s="3" t="str">
        <f>HYPERLINK("https://modify.by/img/617972270/1.webp","фото")</f>
        <v>фото</v>
      </c>
      <c r="R324" s="3" t="str">
        <f>HYPERLINK("https://modify.by/catalog/platya/617972270/?utm_source=price&amp;utm_medium=xlsx","открыть")</f>
        <v>открыть</v>
      </c>
    </row>
    <row r="325">
      <c r="A325" t="inlineStr">
        <is>
          <t xml:space="preserve">Женский</t>
        </is>
      </c>
      <c r="B325" t="inlineStr">
        <is>
          <t xml:space="preserve">Платья</t>
        </is>
      </c>
      <c r="C325" t="inlineStr">
        <is>
          <t xml:space="preserve">Платье-свитер с пышными рукавами, бежевый</t>
        </is>
      </c>
      <c r="D325" t="inlineStr">
        <is>
          <t xml:space="preserve">DR62W01бежевый</t>
        </is>
      </c>
      <c r="E325" t="inlineStr">
        <is>
          <t xml:space="preserve">бежевый</t>
        </is>
      </c>
      <c r="F325" t="inlineStr">
        <is>
          <t xml:space="preserve">44-46</t>
        </is>
      </c>
      <c r="G325">
        <v>4</v>
      </c>
      <c r="H325" s="2">
        <v>38.0</v>
      </c>
      <c r="I325" t="inlineStr">
        <is>
          <t xml:space="preserve">вискоза 50%, ПЭ 30%, эластан 20%</t>
        </is>
      </c>
      <c r="J325"/>
      <c r="K325" t="inlineStr">
        <is>
          <t xml:space="preserve">Бангладеш</t>
        </is>
      </c>
      <c r="L325" t="inlineStr">
        <is>
          <t xml:space="preserve">6204420000</t>
        </is>
      </c>
      <c r="M325" t="inlineStr">
        <is>
          <t xml:space="preserve">Декларация № ЕАЭС № BY/112 11.01. ТР017 122.01 08246, до 19.04.2028</t>
        </is>
      </c>
      <c r="N325" t="inlineStr">
        <is>
          <t xml:space="preserve">35 × 28 × 5</t>
        </is>
      </c>
      <c r="O325" t="inlineStr">
        <is>
          <t xml:space="preserve">0,53</t>
        </is>
      </c>
      <c r="P325" t="inlineStr">
        <is>
          <t xml:space="preserve">4816148171443</t>
        </is>
      </c>
      <c r="Q325" s="3" t="str">
        <f>HYPERLINK("https://modify.by/img/617972270/1.webp","фото")</f>
        <v>фото</v>
      </c>
      <c r="R325" s="3" t="str">
        <f>HYPERLINK("https://modify.by/catalog/platya/617972270/?utm_source=price&amp;utm_medium=xlsx","открыть")</f>
        <v>открыть</v>
      </c>
    </row>
    <row r="326">
      <c r="A326" t="inlineStr">
        <is>
          <t xml:space="preserve">Женский</t>
        </is>
      </c>
      <c r="B326" t="inlineStr">
        <is>
          <t xml:space="preserve">Платья</t>
        </is>
      </c>
      <c r="C326" t="inlineStr">
        <is>
          <t xml:space="preserve">Платье-свитер с пышными рукавами, бежевый</t>
        </is>
      </c>
      <c r="D326" t="inlineStr">
        <is>
          <t xml:space="preserve">DR62W01бежевый</t>
        </is>
      </c>
      <c r="E326" t="inlineStr">
        <is>
          <t xml:space="preserve">бежевый</t>
        </is>
      </c>
      <c r="F326" t="inlineStr">
        <is>
          <t xml:space="preserve">46-48</t>
        </is>
      </c>
      <c r="G326">
        <v>1</v>
      </c>
      <c r="H326" s="2">
        <v>38.0</v>
      </c>
      <c r="I326" t="inlineStr">
        <is>
          <t xml:space="preserve">вискоза 50%, ПЭ 30%, эластан 20%</t>
        </is>
      </c>
      <c r="J326"/>
      <c r="K326" t="inlineStr">
        <is>
          <t xml:space="preserve">Бангладеш</t>
        </is>
      </c>
      <c r="L326" t="inlineStr">
        <is>
          <t xml:space="preserve">6204420000</t>
        </is>
      </c>
      <c r="M326" t="inlineStr">
        <is>
          <t xml:space="preserve">Декларация № ЕАЭС № BY/112 11.01. ТР017 122.01 08246, до 19.04.2028</t>
        </is>
      </c>
      <c r="N326" t="inlineStr">
        <is>
          <t xml:space="preserve">35 × 28 × 5</t>
        </is>
      </c>
      <c r="O326" t="inlineStr">
        <is>
          <t xml:space="preserve">0,53</t>
        </is>
      </c>
      <c r="P326" t="inlineStr">
        <is>
          <t xml:space="preserve">4816148171450</t>
        </is>
      </c>
      <c r="Q326" s="3" t="str">
        <f>HYPERLINK("https://modify.by/img/617972270/1.webp","фото")</f>
        <v>фото</v>
      </c>
      <c r="R326" s="3" t="str">
        <f>HYPERLINK("https://modify.by/catalog/platya/617972270/?utm_source=price&amp;utm_medium=xlsx","открыть")</f>
        <v>открыть</v>
      </c>
    </row>
    <row r="327">
      <c r="A327" t="inlineStr">
        <is>
          <t xml:space="preserve">Женский</t>
        </is>
      </c>
      <c r="B327" t="inlineStr">
        <is>
          <t xml:space="preserve">Платья</t>
        </is>
      </c>
      <c r="C327" t="inlineStr">
        <is>
          <t xml:space="preserve">Платье-свитер с пышными рукавами, бежевый</t>
        </is>
      </c>
      <c r="D327" t="inlineStr">
        <is>
          <t xml:space="preserve">DR62W01бежевый</t>
        </is>
      </c>
      <c r="E327" t="inlineStr">
        <is>
          <t xml:space="preserve">бежевый</t>
        </is>
      </c>
      <c r="F327" t="inlineStr">
        <is>
          <t xml:space="preserve">48-50</t>
        </is>
      </c>
      <c r="G327">
        <v>1</v>
      </c>
      <c r="H327" s="2">
        <v>38.0</v>
      </c>
      <c r="I327" t="inlineStr">
        <is>
          <t xml:space="preserve">вискоза 50%, ПЭ 30%, эластан 20%</t>
        </is>
      </c>
      <c r="J327"/>
      <c r="K327" t="inlineStr">
        <is>
          <t xml:space="preserve">Бангладеш</t>
        </is>
      </c>
      <c r="L327" t="inlineStr">
        <is>
          <t xml:space="preserve">6204420000</t>
        </is>
      </c>
      <c r="M327" t="inlineStr">
        <is>
          <t xml:space="preserve">Декларация № ЕАЭС № BY/112 11.01. ТР017 122.01 08246, до 19.04.2028</t>
        </is>
      </c>
      <c r="N327" t="inlineStr">
        <is>
          <t xml:space="preserve">35 × 28 × 5</t>
        </is>
      </c>
      <c r="O327" t="inlineStr">
        <is>
          <t xml:space="preserve">0,53</t>
        </is>
      </c>
      <c r="P327" t="inlineStr">
        <is>
          <t xml:space="preserve">4816148171467</t>
        </is>
      </c>
      <c r="Q327" s="3" t="str">
        <f>HYPERLINK("https://modify.by/img/617972270/1.webp","фото")</f>
        <v>фото</v>
      </c>
      <c r="R327" s="3" t="str">
        <f>HYPERLINK("https://modify.by/catalog/platya/617972270/?utm_source=price&amp;utm_medium=xlsx","открыть")</f>
        <v>открыть</v>
      </c>
    </row>
    <row r="328">
      <c r="A328" t="inlineStr">
        <is>
          <t xml:space="preserve">Женский</t>
        </is>
      </c>
      <c r="B328" t="inlineStr">
        <is>
          <t xml:space="preserve">Платья</t>
        </is>
      </c>
      <c r="C328" t="inlineStr">
        <is>
          <t xml:space="preserve">Платье-свитер с пышными рукавами, бежевый</t>
        </is>
      </c>
      <c r="D328" t="inlineStr">
        <is>
          <t xml:space="preserve">DR62W01бежевый</t>
        </is>
      </c>
      <c r="E328" t="inlineStr">
        <is>
          <t xml:space="preserve">бежевый</t>
        </is>
      </c>
      <c r="F328" t="inlineStr">
        <is>
          <t xml:space="preserve">50-52</t>
        </is>
      </c>
      <c r="G328">
        <v>1</v>
      </c>
      <c r="H328" s="2">
        <v>38.0</v>
      </c>
      <c r="I328" t="inlineStr">
        <is>
          <t xml:space="preserve">вискоза 50%, ПЭ 30%, эластан 20%</t>
        </is>
      </c>
      <c r="J328"/>
      <c r="K328" t="inlineStr">
        <is>
          <t xml:space="preserve">Бангладеш</t>
        </is>
      </c>
      <c r="L328" t="inlineStr">
        <is>
          <t xml:space="preserve">6204420000</t>
        </is>
      </c>
      <c r="M328" t="inlineStr">
        <is>
          <t xml:space="preserve">Декларация № ЕАЭС № BY/112 11.01. ТР017 122.01 08246, до 19.04.2028</t>
        </is>
      </c>
      <c r="N328" t="inlineStr">
        <is>
          <t xml:space="preserve">35 × 28 × 5</t>
        </is>
      </c>
      <c r="O328" t="inlineStr">
        <is>
          <t xml:space="preserve">0,53</t>
        </is>
      </c>
      <c r="P328" t="inlineStr">
        <is>
          <t xml:space="preserve">4816148171474</t>
        </is>
      </c>
      <c r="Q328" s="3" t="str">
        <f>HYPERLINK("https://modify.by/img/617972270/1.webp","фото")</f>
        <v>фото</v>
      </c>
      <c r="R328" s="3" t="str">
        <f>HYPERLINK("https://modify.by/catalog/platya/617972270/?utm_source=price&amp;utm_medium=xlsx","открыть")</f>
        <v>открыть</v>
      </c>
    </row>
    <row r="329">
      <c r="A329" t="inlineStr">
        <is>
          <t xml:space="preserve">Женский</t>
        </is>
      </c>
      <c r="B329" t="inlineStr">
        <is>
          <t xml:space="preserve">Платья</t>
        </is>
      </c>
      <c r="C329" t="inlineStr">
        <is>
          <t xml:space="preserve">Платье-свитер с пышными рукавами, серый гранит</t>
        </is>
      </c>
      <c r="D329" t="inlineStr">
        <is>
          <t xml:space="preserve">DR62W01темно-серый</t>
        </is>
      </c>
      <c r="E329" t="inlineStr">
        <is>
          <t xml:space="preserve">серый гранит, серый</t>
        </is>
      </c>
      <c r="F329" t="inlineStr">
        <is>
          <t xml:space="preserve">42-44</t>
        </is>
      </c>
      <c r="G329">
        <v>16</v>
      </c>
      <c r="H329" s="2">
        <v>38.0</v>
      </c>
      <c r="I329" t="inlineStr">
        <is>
          <t xml:space="preserve">вискоза 50%, ПЭ 30%, эластан 20%</t>
        </is>
      </c>
      <c r="J329"/>
      <c r="K329" t="inlineStr">
        <is>
          <t xml:space="preserve">Бангладеш</t>
        </is>
      </c>
      <c r="L329" t="inlineStr">
        <is>
          <t xml:space="preserve">6204420000</t>
        </is>
      </c>
      <c r="M329" t="inlineStr">
        <is>
          <t xml:space="preserve">Декларация № ЕАЭС № BY/112 11.01. ТР017 122.01 08246, до 19.04.2028</t>
        </is>
      </c>
      <c r="N329" t="inlineStr">
        <is>
          <t xml:space="preserve">35 × 28 × 5</t>
        </is>
      </c>
      <c r="O329" t="inlineStr">
        <is>
          <t xml:space="preserve">0,53</t>
        </is>
      </c>
      <c r="P329" t="inlineStr">
        <is>
          <t xml:space="preserve">4816148171610</t>
        </is>
      </c>
      <c r="Q329" s="3" t="str">
        <f>HYPERLINK("https://modify.by/img/619427557/1.webp","фото")</f>
        <v>фото</v>
      </c>
      <c r="R329" s="3" t="str">
        <f>HYPERLINK("https://modify.by/catalog/platya/619427557/?utm_source=price&amp;utm_medium=xlsx","открыть")</f>
        <v>открыть</v>
      </c>
    </row>
    <row r="330">
      <c r="A330" t="inlineStr">
        <is>
          <t xml:space="preserve">Женский</t>
        </is>
      </c>
      <c r="B330" t="inlineStr">
        <is>
          <t xml:space="preserve">Платья</t>
        </is>
      </c>
      <c r="C330" t="inlineStr">
        <is>
          <t xml:space="preserve">Платье-свитер с пышными рукавами, серый гранит</t>
        </is>
      </c>
      <c r="D330" t="inlineStr">
        <is>
          <t xml:space="preserve">DR62W01темно-серый</t>
        </is>
      </c>
      <c r="E330" t="inlineStr">
        <is>
          <t xml:space="preserve">серый гранит, серый</t>
        </is>
      </c>
      <c r="F330" t="inlineStr">
        <is>
          <t xml:space="preserve">44-46</t>
        </is>
      </c>
      <c r="G330">
        <v>7</v>
      </c>
      <c r="H330" s="2">
        <v>38.0</v>
      </c>
      <c r="I330" t="inlineStr">
        <is>
          <t xml:space="preserve">вискоза 50%, ПЭ 30%, эластан 20%</t>
        </is>
      </c>
      <c r="J330"/>
      <c r="K330" t="inlineStr">
        <is>
          <t xml:space="preserve">Бангладеш</t>
        </is>
      </c>
      <c r="L330" t="inlineStr">
        <is>
          <t xml:space="preserve">6204420000</t>
        </is>
      </c>
      <c r="M330" t="inlineStr">
        <is>
          <t xml:space="preserve">Декларация № ЕАЭС № BY/112 11.01. ТР017 122.01 08246, до 19.04.2028</t>
        </is>
      </c>
      <c r="N330" t="inlineStr">
        <is>
          <t xml:space="preserve">35 × 28 × 5</t>
        </is>
      </c>
      <c r="O330" t="inlineStr">
        <is>
          <t xml:space="preserve">0,53</t>
        </is>
      </c>
      <c r="P330" t="inlineStr">
        <is>
          <t xml:space="preserve">4816148171627</t>
        </is>
      </c>
      <c r="Q330" s="3" t="str">
        <f>HYPERLINK("https://modify.by/img/619427557/1.webp","фото")</f>
        <v>фото</v>
      </c>
      <c r="R330" s="3" t="str">
        <f>HYPERLINK("https://modify.by/catalog/platya/619427557/?utm_source=price&amp;utm_medium=xlsx","открыть")</f>
        <v>открыть</v>
      </c>
    </row>
    <row r="331">
      <c r="A331" t="inlineStr">
        <is>
          <t xml:space="preserve">Женский</t>
        </is>
      </c>
      <c r="B331" t="inlineStr">
        <is>
          <t xml:space="preserve">Платья</t>
        </is>
      </c>
      <c r="C331" t="inlineStr">
        <is>
          <t xml:space="preserve">Платье-свитер с пышными рукавами, серый гранит</t>
        </is>
      </c>
      <c r="D331" t="inlineStr">
        <is>
          <t xml:space="preserve">DR62W01темно-серый</t>
        </is>
      </c>
      <c r="E331" t="inlineStr">
        <is>
          <t xml:space="preserve">серый гранит, серый</t>
        </is>
      </c>
      <c r="F331" t="inlineStr">
        <is>
          <t xml:space="preserve">46-48</t>
        </is>
      </c>
      <c r="G331">
        <v>4</v>
      </c>
      <c r="H331" s="2">
        <v>38.0</v>
      </c>
      <c r="I331" t="inlineStr">
        <is>
          <t xml:space="preserve">вискоза 50%, ПЭ 30%, эластан 20%</t>
        </is>
      </c>
      <c r="J331"/>
      <c r="K331" t="inlineStr">
        <is>
          <t xml:space="preserve">Бангладеш</t>
        </is>
      </c>
      <c r="L331" t="inlineStr">
        <is>
          <t xml:space="preserve">6204420000</t>
        </is>
      </c>
      <c r="M331" t="inlineStr">
        <is>
          <t xml:space="preserve">Декларация № ЕАЭС № BY/112 11.01. ТР017 122.01 08246, до 19.04.2028</t>
        </is>
      </c>
      <c r="N331" t="inlineStr">
        <is>
          <t xml:space="preserve">35 × 28 × 5</t>
        </is>
      </c>
      <c r="O331" t="inlineStr">
        <is>
          <t xml:space="preserve">0,53</t>
        </is>
      </c>
      <c r="P331" t="inlineStr">
        <is>
          <t xml:space="preserve">4816148171634</t>
        </is>
      </c>
      <c r="Q331" s="3" t="str">
        <f>HYPERLINK("https://modify.by/img/619427557/1.webp","фото")</f>
        <v>фото</v>
      </c>
      <c r="R331" s="3" t="str">
        <f>HYPERLINK("https://modify.by/catalog/platya/619427557/?utm_source=price&amp;utm_medium=xlsx","открыть")</f>
        <v>открыть</v>
      </c>
    </row>
    <row r="332">
      <c r="A332" t="inlineStr">
        <is>
          <t xml:space="preserve">Женский</t>
        </is>
      </c>
      <c r="B332" t="inlineStr">
        <is>
          <t xml:space="preserve">Платья</t>
        </is>
      </c>
      <c r="C332" t="inlineStr">
        <is>
          <t xml:space="preserve">Платье-свитер с пышными рукавами, серый гранит</t>
        </is>
      </c>
      <c r="D332" t="inlineStr">
        <is>
          <t xml:space="preserve">DR62W01темно-серый</t>
        </is>
      </c>
      <c r="E332" t="inlineStr">
        <is>
          <t xml:space="preserve">серый гранит, серый</t>
        </is>
      </c>
      <c r="F332" t="inlineStr">
        <is>
          <t xml:space="preserve">48-50</t>
        </is>
      </c>
      <c r="G332">
        <v>1</v>
      </c>
      <c r="H332" s="2">
        <v>38.0</v>
      </c>
      <c r="I332" t="inlineStr">
        <is>
          <t xml:space="preserve">вискоза 50%, ПЭ 30%, эластан 20%</t>
        </is>
      </c>
      <c r="J332"/>
      <c r="K332" t="inlineStr">
        <is>
          <t xml:space="preserve">Бангладеш</t>
        </is>
      </c>
      <c r="L332" t="inlineStr">
        <is>
          <t xml:space="preserve">6204420000</t>
        </is>
      </c>
      <c r="M332" t="inlineStr">
        <is>
          <t xml:space="preserve">Декларация № ЕАЭС № BY/112 11.01. ТР017 122.01 08246, до 19.04.2028</t>
        </is>
      </c>
      <c r="N332" t="inlineStr">
        <is>
          <t xml:space="preserve">35 × 28 × 5</t>
        </is>
      </c>
      <c r="O332" t="inlineStr">
        <is>
          <t xml:space="preserve">0,53</t>
        </is>
      </c>
      <c r="P332" t="inlineStr">
        <is>
          <t xml:space="preserve">4816148171641</t>
        </is>
      </c>
      <c r="Q332" s="3" t="str">
        <f>HYPERLINK("https://modify.by/img/619427557/1.webp","фото")</f>
        <v>фото</v>
      </c>
      <c r="R332" s="3" t="str">
        <f>HYPERLINK("https://modify.by/catalog/platya/619427557/?utm_source=price&amp;utm_medium=xlsx","открыть")</f>
        <v>открыть</v>
      </c>
    </row>
    <row r="333">
      <c r="A333" t="inlineStr">
        <is>
          <t xml:space="preserve">Женский</t>
        </is>
      </c>
      <c r="B333" t="inlineStr">
        <is>
          <t xml:space="preserve">Платья</t>
        </is>
      </c>
      <c r="C333" t="inlineStr">
        <is>
          <t xml:space="preserve">Платье-свитер с пышными рукавами, серый гранит</t>
        </is>
      </c>
      <c r="D333" t="inlineStr">
        <is>
          <t xml:space="preserve">DR62W01темно-серый</t>
        </is>
      </c>
      <c r="E333" t="inlineStr">
        <is>
          <t xml:space="preserve">серый гранит, серый</t>
        </is>
      </c>
      <c r="F333" t="inlineStr">
        <is>
          <t xml:space="preserve">50-52</t>
        </is>
      </c>
      <c r="G333">
        <v>1</v>
      </c>
      <c r="H333" s="2">
        <v>38.0</v>
      </c>
      <c r="I333" t="inlineStr">
        <is>
          <t xml:space="preserve">вискоза 50%, ПЭ 30%, эластан 20%</t>
        </is>
      </c>
      <c r="J333"/>
      <c r="K333" t="inlineStr">
        <is>
          <t xml:space="preserve">Бангладеш</t>
        </is>
      </c>
      <c r="L333" t="inlineStr">
        <is>
          <t xml:space="preserve">6204420000</t>
        </is>
      </c>
      <c r="M333" t="inlineStr">
        <is>
          <t xml:space="preserve">Декларация № ЕАЭС № BY/112 11.01. ТР017 122.01 08246, до 19.04.2028</t>
        </is>
      </c>
      <c r="N333" t="inlineStr">
        <is>
          <t xml:space="preserve">35 × 28 × 5</t>
        </is>
      </c>
      <c r="O333" t="inlineStr">
        <is>
          <t xml:space="preserve">0,53</t>
        </is>
      </c>
      <c r="P333" t="inlineStr">
        <is>
          <t xml:space="preserve">4816148171658</t>
        </is>
      </c>
      <c r="Q333" s="3" t="str">
        <f>HYPERLINK("https://modify.by/img/619427557/1.webp","фото")</f>
        <v>фото</v>
      </c>
      <c r="R333" s="3" t="str">
        <f>HYPERLINK("https://modify.by/catalog/platya/619427557/?utm_source=price&amp;utm_medium=xlsx","открыть")</f>
        <v>открыть</v>
      </c>
    </row>
    <row r="334">
      <c r="A334" t="inlineStr">
        <is>
          <t xml:space="preserve">Женский</t>
        </is>
      </c>
      <c r="B334" t="inlineStr">
        <is>
          <t xml:space="preserve">Платья</t>
        </is>
      </c>
      <c r="C334" t="inlineStr">
        <is>
          <t xml:space="preserve">джинсовое легкое платье без рукавов</t>
        </is>
      </c>
      <c r="D334" t="inlineStr">
        <is>
          <t xml:space="preserve">DR32W02Синий</t>
        </is>
      </c>
      <c r="E334" t="inlineStr">
        <is>
          <t xml:space="preserve">синий</t>
        </is>
      </c>
      <c r="F334" t="inlineStr">
        <is>
          <t xml:space="preserve">50</t>
        </is>
      </c>
      <c r="G334">
        <v>1</v>
      </c>
      <c r="H334" s="2">
        <v>35.0</v>
      </c>
      <c r="I334" t="inlineStr">
        <is>
          <t xml:space="preserve">хлопок 100%</t>
        </is>
      </c>
      <c r="J334"/>
      <c r="K334" t="inlineStr">
        <is>
          <t xml:space="preserve">Бангладеш</t>
        </is>
      </c>
      <c r="L334" t="inlineStr">
        <is>
          <t xml:space="preserve">6204420000</t>
        </is>
      </c>
      <c r="M334" t="inlineStr">
        <is>
          <t xml:space="preserve">по запросу</t>
        </is>
      </c>
      <c r="N334" t="inlineStr">
        <is>
          <t xml:space="preserve">37 × 29 × 2</t>
        </is>
      </c>
      <c r="O334" t="inlineStr">
        <is>
          <t xml:space="preserve">0,46</t>
        </is>
      </c>
      <c r="P334" t="inlineStr">
        <is>
          <t xml:space="preserve">2026620776574</t>
        </is>
      </c>
      <c r="Q334" s="3" t="str">
        <f>HYPERLINK("https://modify.by/img/152165743/1.webp","фото")</f>
        <v>фото</v>
      </c>
      <c r="R334" s="3" t="str">
        <f>HYPERLINK("https://modify.by/catalog/platya/152165743/?utm_source=price&amp;utm_medium=xlsx","открыть")</f>
        <v>открыть</v>
      </c>
    </row>
    <row r="335">
      <c r="A335" t="inlineStr">
        <is>
          <t xml:space="preserve">Женский</t>
        </is>
      </c>
      <c r="B335" t="inlineStr">
        <is>
          <t xml:space="preserve">Платья</t>
        </is>
      </c>
      <c r="C335" t="inlineStr">
        <is>
          <t xml:space="preserve">джинсовое легкое платье без рукавов</t>
        </is>
      </c>
      <c r="D335" t="inlineStr">
        <is>
          <t xml:space="preserve">DR32W02Синий</t>
        </is>
      </c>
      <c r="E335" t="inlineStr">
        <is>
          <t xml:space="preserve">синий</t>
        </is>
      </c>
      <c r="F335" t="inlineStr">
        <is>
          <t xml:space="preserve">52</t>
        </is>
      </c>
      <c r="G335">
        <v>1</v>
      </c>
      <c r="H335" s="2">
        <v>35.0</v>
      </c>
      <c r="I335" t="inlineStr">
        <is>
          <t xml:space="preserve">хлопок 100%</t>
        </is>
      </c>
      <c r="J335"/>
      <c r="K335" t="inlineStr">
        <is>
          <t xml:space="preserve">Бангладеш</t>
        </is>
      </c>
      <c r="L335" t="inlineStr">
        <is>
          <t xml:space="preserve">6204420000</t>
        </is>
      </c>
      <c r="M335" t="inlineStr">
        <is>
          <t xml:space="preserve">по запросу</t>
        </is>
      </c>
      <c r="N335" t="inlineStr">
        <is>
          <t xml:space="preserve">37 × 29 × 2</t>
        </is>
      </c>
      <c r="O335" t="inlineStr">
        <is>
          <t xml:space="preserve">0,46</t>
        </is>
      </c>
      <c r="P335" t="inlineStr">
        <is>
          <t xml:space="preserve">2026620776567</t>
        </is>
      </c>
      <c r="Q335" s="3" t="str">
        <f>HYPERLINK("https://modify.by/img/152165743/1.webp","фото")</f>
        <v>фото</v>
      </c>
      <c r="R335" s="3" t="str">
        <f>HYPERLINK("https://modify.by/catalog/platya/152165743/?utm_source=price&amp;utm_medium=xlsx","открыть")</f>
        <v>открыть</v>
      </c>
    </row>
    <row r="336">
      <c r="A336" t="inlineStr">
        <is>
          <t xml:space="preserve">Женский</t>
        </is>
      </c>
      <c r="B336" t="inlineStr">
        <is>
          <t xml:space="preserve">Платья</t>
        </is>
      </c>
      <c r="C336" t="inlineStr">
        <is>
          <t xml:space="preserve">джинсовое легкое платье без рукавов</t>
        </is>
      </c>
      <c r="D336" t="inlineStr">
        <is>
          <t xml:space="preserve">DR32W02Синий</t>
        </is>
      </c>
      <c r="E336" t="inlineStr">
        <is>
          <t xml:space="preserve">синий</t>
        </is>
      </c>
      <c r="F336" t="inlineStr">
        <is>
          <t xml:space="preserve">54</t>
        </is>
      </c>
      <c r="G336">
        <v>1</v>
      </c>
      <c r="H336" s="2">
        <v>35.0</v>
      </c>
      <c r="I336" t="inlineStr">
        <is>
          <t xml:space="preserve">хлопок 100%</t>
        </is>
      </c>
      <c r="J336"/>
      <c r="K336" t="inlineStr">
        <is>
          <t xml:space="preserve">Бангладеш</t>
        </is>
      </c>
      <c r="L336" t="inlineStr">
        <is>
          <t xml:space="preserve">6204420000</t>
        </is>
      </c>
      <c r="M336" t="inlineStr">
        <is>
          <t xml:space="preserve">по запросу</t>
        </is>
      </c>
      <c r="N336" t="inlineStr">
        <is>
          <t xml:space="preserve">37 × 29 × 2</t>
        </is>
      </c>
      <c r="O336" t="inlineStr">
        <is>
          <t xml:space="preserve">0,46</t>
        </is>
      </c>
      <c r="P336" t="inlineStr">
        <is>
          <t xml:space="preserve">2026620776550</t>
        </is>
      </c>
      <c r="Q336" s="3" t="str">
        <f>HYPERLINK("https://modify.by/img/152165743/1.webp","фото")</f>
        <v>фото</v>
      </c>
      <c r="R336" s="3" t="str">
        <f>HYPERLINK("https://modify.by/catalog/platya/152165743/?utm_source=price&amp;utm_medium=xlsx","открыть")</f>
        <v>открыть</v>
      </c>
    </row>
    <row r="337">
      <c r="A337" t="inlineStr">
        <is>
          <t xml:space="preserve">Женский</t>
        </is>
      </c>
      <c r="B337" t="inlineStr">
        <is>
          <t xml:space="preserve">Платья</t>
        </is>
      </c>
      <c r="C337" t="inlineStr">
        <is>
          <t xml:space="preserve">платье майка короткое трикотажное в рубчик, бордовый</t>
        </is>
      </c>
      <c r="D337" t="inlineStr">
        <is>
          <t xml:space="preserve">DR42W01бордовый</t>
        </is>
      </c>
      <c r="E337" t="inlineStr">
        <is>
          <t xml:space="preserve">бордовый</t>
        </is>
      </c>
      <c r="F337" t="inlineStr">
        <is>
          <t xml:space="preserve">44</t>
        </is>
      </c>
      <c r="G337">
        <v>5</v>
      </c>
      <c r="H337" s="2">
        <v>23.0</v>
      </c>
      <c r="I337" t="inlineStr">
        <is>
          <t xml:space="preserve">Хлопок 95% Эластан 5%</t>
        </is>
      </c>
      <c r="J337"/>
      <c r="K337" t="inlineStr">
        <is>
          <t xml:space="preserve">Бангладеш</t>
        </is>
      </c>
      <c r="L337" t="inlineStr">
        <is>
          <t xml:space="preserve">6104420000</t>
        </is>
      </c>
      <c r="M337" t="inlineStr">
        <is>
          <t xml:space="preserve">Декларация № ЕАЭС № BY/112 11.01. ТР017 122.01 08246, до 19.04.2028</t>
        </is>
      </c>
      <c r="N337" t="inlineStr">
        <is>
          <t xml:space="preserve">35 × 25 × 2</t>
        </is>
      </c>
      <c r="O337" t="inlineStr">
        <is>
          <t xml:space="preserve">0,26</t>
        </is>
      </c>
      <c r="P337" t="inlineStr">
        <is>
          <t xml:space="preserve">4816148106537</t>
        </is>
      </c>
      <c r="Q337" s="3" t="str">
        <f>HYPERLINK("https://modify.by/img/239181645/1.webp","фото")</f>
        <v>фото</v>
      </c>
      <c r="R337" s="3" t="str">
        <f>HYPERLINK("https://modify.by/catalog/platya/239181645/?utm_source=price&amp;utm_medium=xlsx","открыть")</f>
        <v>открыть</v>
      </c>
    </row>
    <row r="338">
      <c r="A338" t="inlineStr">
        <is>
          <t xml:space="preserve">Женский</t>
        </is>
      </c>
      <c r="B338" t="inlineStr">
        <is>
          <t xml:space="preserve">Платья</t>
        </is>
      </c>
      <c r="C338" t="inlineStr">
        <is>
          <t xml:space="preserve">платье майка короткое трикотажное в рубчик, черный</t>
        </is>
      </c>
      <c r="D338" t="inlineStr">
        <is>
          <t xml:space="preserve">DR42W01черный</t>
        </is>
      </c>
      <c r="E338" t="inlineStr">
        <is>
          <t xml:space="preserve">черный</t>
        </is>
      </c>
      <c r="F338" t="inlineStr">
        <is>
          <t xml:space="preserve">42</t>
        </is>
      </c>
      <c r="G338">
        <v>3</v>
      </c>
      <c r="H338" s="2">
        <v>23.0</v>
      </c>
      <c r="I338" t="inlineStr">
        <is>
          <t xml:space="preserve">Хлопок 95% Эластан 5%</t>
        </is>
      </c>
      <c r="J338"/>
      <c r="K338" t="inlineStr">
        <is>
          <t xml:space="preserve">Бангладеш</t>
        </is>
      </c>
      <c r="L338" t="inlineStr">
        <is>
          <t xml:space="preserve">6104420000</t>
        </is>
      </c>
      <c r="M338" t="inlineStr">
        <is>
          <t xml:space="preserve">Декларация № ЕАЭС № BY/112 11.01. ТР017 122.01 08246, до 19.04.2028</t>
        </is>
      </c>
      <c r="N338" t="inlineStr">
        <is>
          <t xml:space="preserve">35 × 25 × 2</t>
        </is>
      </c>
      <c r="O338" t="inlineStr">
        <is>
          <t xml:space="preserve">0,26</t>
        </is>
      </c>
      <c r="P338" t="inlineStr">
        <is>
          <t xml:space="preserve">4816148108104</t>
        </is>
      </c>
      <c r="Q338" s="3" t="str">
        <f>HYPERLINK("https://modify.by/img/239181644/1.webp","фото")</f>
        <v>фото</v>
      </c>
      <c r="R338" s="3" t="str">
        <f>HYPERLINK("https://modify.by/catalog/platya/239181644/?utm_source=price&amp;utm_medium=xlsx","открыть")</f>
        <v>открыть</v>
      </c>
    </row>
    <row r="339">
      <c r="A339" t="inlineStr">
        <is>
          <t xml:space="preserve">Женский</t>
        </is>
      </c>
      <c r="B339" t="inlineStr">
        <is>
          <t xml:space="preserve">Платья</t>
        </is>
      </c>
      <c r="C339" t="inlineStr">
        <is>
          <t xml:space="preserve">платье майка короткое трикотажное в рубчик, черный</t>
        </is>
      </c>
      <c r="D339" t="inlineStr">
        <is>
          <t xml:space="preserve">DR42W01черный</t>
        </is>
      </c>
      <c r="E339" t="inlineStr">
        <is>
          <t xml:space="preserve">черный</t>
        </is>
      </c>
      <c r="F339" t="inlineStr">
        <is>
          <t xml:space="preserve">44</t>
        </is>
      </c>
      <c r="G339">
        <v>19</v>
      </c>
      <c r="H339" s="2">
        <v>23.0</v>
      </c>
      <c r="I339" t="inlineStr">
        <is>
          <t xml:space="preserve">Хлопок 95% Эластан 5%</t>
        </is>
      </c>
      <c r="J339"/>
      <c r="K339" t="inlineStr">
        <is>
          <t xml:space="preserve">Бангладеш</t>
        </is>
      </c>
      <c r="L339" t="inlineStr">
        <is>
          <t xml:space="preserve">6104420000</t>
        </is>
      </c>
      <c r="M339" t="inlineStr">
        <is>
          <t xml:space="preserve">Декларация № ЕАЭС № BY/112 11.01. ТР017 122.01 08246, до 19.04.2028</t>
        </is>
      </c>
      <c r="N339" t="inlineStr">
        <is>
          <t xml:space="preserve">35 × 25 × 2</t>
        </is>
      </c>
      <c r="O339" t="inlineStr">
        <is>
          <t xml:space="preserve">0,26</t>
        </is>
      </c>
      <c r="P339" t="inlineStr">
        <is>
          <t xml:space="preserve">4816148106490</t>
        </is>
      </c>
      <c r="Q339" s="3" t="str">
        <f>HYPERLINK("https://modify.by/img/239181644/1.webp","фото")</f>
        <v>фото</v>
      </c>
      <c r="R339" s="3" t="str">
        <f>HYPERLINK("https://modify.by/catalog/platya/239181644/?utm_source=price&amp;utm_medium=xlsx","открыть")</f>
        <v>открыть</v>
      </c>
    </row>
    <row r="340">
      <c r="A340" t="inlineStr">
        <is>
          <t xml:space="preserve">Женский</t>
        </is>
      </c>
      <c r="B340" t="inlineStr">
        <is>
          <t xml:space="preserve">Платья</t>
        </is>
      </c>
      <c r="C340" t="inlineStr">
        <is>
          <t xml:space="preserve">платье майка трикотажное в рубчик</t>
        </is>
      </c>
      <c r="D340" t="inlineStr">
        <is>
          <t xml:space="preserve">DR42W01серо-синий</t>
        </is>
      </c>
      <c r="E340" t="inlineStr">
        <is>
          <t xml:space="preserve">серо-синий</t>
        </is>
      </c>
      <c r="F340" t="inlineStr">
        <is>
          <t xml:space="preserve">42</t>
        </is>
      </c>
      <c r="G340">
        <v>17</v>
      </c>
      <c r="H340" s="2">
        <v>23.0</v>
      </c>
      <c r="I340" t="inlineStr">
        <is>
          <t xml:space="preserve">Хлопок 95% Эластан 5%</t>
        </is>
      </c>
      <c r="J340"/>
      <c r="K340" t="inlineStr">
        <is>
          <t xml:space="preserve">Бангладеш</t>
        </is>
      </c>
      <c r="L340" t="inlineStr">
        <is>
          <t xml:space="preserve">6104420000</t>
        </is>
      </c>
      <c r="M340" t="inlineStr">
        <is>
          <t xml:space="preserve">Декларация № ЕАЭС № BY/112 11.01. ТР017 122.01 08246, до 19.04.2028</t>
        </is>
      </c>
      <c r="N340" t="inlineStr">
        <is>
          <t xml:space="preserve">35 × 25 × 2</t>
        </is>
      </c>
      <c r="O340" t="inlineStr">
        <is>
          <t xml:space="preserve">0,26</t>
        </is>
      </c>
      <c r="P340" t="inlineStr">
        <is>
          <t xml:space="preserve">4816148106568</t>
        </is>
      </c>
      <c r="Q340" s="3" t="str">
        <f>HYPERLINK("https://modify.by/img/239181646/1.webp","фото")</f>
        <v>фото</v>
      </c>
      <c r="R340" s="3" t="str">
        <f>HYPERLINK("https://modify.by/catalog/platya/239181646/?utm_source=price&amp;utm_medium=xlsx","открыть")</f>
        <v>открыть</v>
      </c>
    </row>
    <row r="341">
      <c r="A341" t="inlineStr">
        <is>
          <t xml:space="preserve">Женский</t>
        </is>
      </c>
      <c r="B341" t="inlineStr">
        <is>
          <t xml:space="preserve">Платья</t>
        </is>
      </c>
      <c r="C341" t="inlineStr">
        <is>
          <t xml:space="preserve">платье майка трикотажное в рубчик</t>
        </is>
      </c>
      <c r="D341" t="inlineStr">
        <is>
          <t xml:space="preserve">DR42W01серо-синий</t>
        </is>
      </c>
      <c r="E341" t="inlineStr">
        <is>
          <t xml:space="preserve">серо-синий</t>
        </is>
      </c>
      <c r="F341" t="inlineStr">
        <is>
          <t xml:space="preserve">44</t>
        </is>
      </c>
      <c r="G341">
        <v>26</v>
      </c>
      <c r="H341" s="2">
        <v>23.0</v>
      </c>
      <c r="I341" t="inlineStr">
        <is>
          <t xml:space="preserve">Хлопок 95% Эластан 5%</t>
        </is>
      </c>
      <c r="J341"/>
      <c r="K341" t="inlineStr">
        <is>
          <t xml:space="preserve">Бангладеш</t>
        </is>
      </c>
      <c r="L341" t="inlineStr">
        <is>
          <t xml:space="preserve">6104420000</t>
        </is>
      </c>
      <c r="M341" t="inlineStr">
        <is>
          <t xml:space="preserve">Декларация № ЕАЭС № BY/112 11.01. ТР017 122.01 08246, до 19.04.2028</t>
        </is>
      </c>
      <c r="N341" t="inlineStr">
        <is>
          <t xml:space="preserve">35 × 25 × 2</t>
        </is>
      </c>
      <c r="O341" t="inlineStr">
        <is>
          <t xml:space="preserve">0,26</t>
        </is>
      </c>
      <c r="P341" t="inlineStr">
        <is>
          <t xml:space="preserve">4816148106575</t>
        </is>
      </c>
      <c r="Q341" s="3" t="str">
        <f>HYPERLINK("https://modify.by/img/239181646/1.webp","фото")</f>
        <v>фото</v>
      </c>
      <c r="R341" s="3" t="str">
        <f>HYPERLINK("https://modify.by/catalog/platya/239181646/?utm_source=price&amp;utm_medium=xlsx","открыть")</f>
        <v>открыть</v>
      </c>
    </row>
    <row r="342">
      <c r="A342" t="inlineStr">
        <is>
          <t xml:space="preserve">Женский</t>
        </is>
      </c>
      <c r="B342" t="inlineStr">
        <is>
          <t xml:space="preserve">Платья</t>
        </is>
      </c>
      <c r="C342" t="inlineStr">
        <is>
          <t xml:space="preserve">платье майка трикотажное в рубчик</t>
        </is>
      </c>
      <c r="D342" t="inlineStr">
        <is>
          <t xml:space="preserve">DR42W01серо-синий</t>
        </is>
      </c>
      <c r="E342" t="inlineStr">
        <is>
          <t xml:space="preserve">серо-синий</t>
        </is>
      </c>
      <c r="F342" t="inlineStr">
        <is>
          <t xml:space="preserve">46</t>
        </is>
      </c>
      <c r="G342">
        <v>1</v>
      </c>
      <c r="H342" s="2">
        <v>23.0</v>
      </c>
      <c r="I342" t="inlineStr">
        <is>
          <t xml:space="preserve">Хлопок 95% Эластан 5%</t>
        </is>
      </c>
      <c r="J342"/>
      <c r="K342" t="inlineStr">
        <is>
          <t xml:space="preserve">Бангладеш</t>
        </is>
      </c>
      <c r="L342" t="inlineStr">
        <is>
          <t xml:space="preserve">6104420000</t>
        </is>
      </c>
      <c r="M342" t="inlineStr">
        <is>
          <t xml:space="preserve">Декларация № ЕАЭС № BY/112 11.01. ТР017 122.01 08246, до 19.04.2028</t>
        </is>
      </c>
      <c r="N342" t="inlineStr">
        <is>
          <t xml:space="preserve">35 × 25 × 2</t>
        </is>
      </c>
      <c r="O342" t="inlineStr">
        <is>
          <t xml:space="preserve">0,26</t>
        </is>
      </c>
      <c r="P342" t="inlineStr">
        <is>
          <t xml:space="preserve">4816148106582</t>
        </is>
      </c>
      <c r="Q342" s="3" t="str">
        <f>HYPERLINK("https://modify.by/img/239181646/1.webp","фото")</f>
        <v>фото</v>
      </c>
      <c r="R342" s="3" t="str">
        <f>HYPERLINK("https://modify.by/catalog/platya/239181646/?utm_source=price&amp;utm_medium=xlsx","открыть")</f>
        <v>открыть</v>
      </c>
    </row>
    <row r="343">
      <c r="A343" t="inlineStr">
        <is>
          <t xml:space="preserve">Женский</t>
        </is>
      </c>
      <c r="B343" t="inlineStr">
        <is>
          <t xml:space="preserve">Платья</t>
        </is>
      </c>
      <c r="C343" t="inlineStr">
        <is>
          <t xml:space="preserve">трикотажное платье лапша короткое облегающее</t>
        </is>
      </c>
      <c r="D343" t="inlineStr">
        <is>
          <t xml:space="preserve">DR32W06серый</t>
        </is>
      </c>
      <c r="E343" t="inlineStr">
        <is>
          <t xml:space="preserve">серый</t>
        </is>
      </c>
      <c r="F343" t="inlineStr">
        <is>
          <t xml:space="preserve">42</t>
        </is>
      </c>
      <c r="G343">
        <v>39</v>
      </c>
      <c r="H343" s="2">
        <v>28.0</v>
      </c>
      <c r="I343" t="inlineStr">
        <is>
          <t xml:space="preserve">Хлопок 95% Эластан 5%</t>
        </is>
      </c>
      <c r="J343"/>
      <c r="K343" t="inlineStr">
        <is>
          <t xml:space="preserve">Бангладеш</t>
        </is>
      </c>
      <c r="L343" t="inlineStr">
        <is>
          <t xml:space="preserve">6204420000</t>
        </is>
      </c>
      <c r="M343" t="inlineStr">
        <is>
          <t xml:space="preserve">Декларация № ЕАЭС № BY/112 11.01. ТР017 122.01 08246, до 19.04.2028</t>
        </is>
      </c>
      <c r="N343" t="inlineStr">
        <is>
          <t xml:space="preserve">35 × 30 × 2</t>
        </is>
      </c>
      <c r="O343" t="inlineStr">
        <is>
          <t xml:space="preserve">0,45</t>
        </is>
      </c>
      <c r="P343" t="inlineStr">
        <is>
          <t xml:space="preserve">2038096197623</t>
        </is>
      </c>
      <c r="Q343" s="3" t="str">
        <f>HYPERLINK("https://modify.by/img/208758049/1.webp","фото")</f>
        <v>фото</v>
      </c>
      <c r="R343" s="3" t="str">
        <f>HYPERLINK("https://modify.by/catalog/platya/208758049/?utm_source=price&amp;utm_medium=xlsx","открыть")</f>
        <v>открыть</v>
      </c>
    </row>
    <row r="344">
      <c r="A344" t="inlineStr">
        <is>
          <t xml:space="preserve">Женский</t>
        </is>
      </c>
      <c r="B344" t="inlineStr">
        <is>
          <t xml:space="preserve">Платья</t>
        </is>
      </c>
      <c r="C344" t="inlineStr">
        <is>
          <t xml:space="preserve">трикотажное платье лапша короткое облегающее</t>
        </is>
      </c>
      <c r="D344" t="inlineStr">
        <is>
          <t xml:space="preserve">DR32W06серый</t>
        </is>
      </c>
      <c r="E344" t="inlineStr">
        <is>
          <t xml:space="preserve">серый</t>
        </is>
      </c>
      <c r="F344" t="inlineStr">
        <is>
          <t xml:space="preserve">42</t>
        </is>
      </c>
      <c r="G344">
        <v>39</v>
      </c>
      <c r="H344" s="2">
        <v>28.0</v>
      </c>
      <c r="I344" t="inlineStr">
        <is>
          <t xml:space="preserve">Хлопок 95% Эластан 5%</t>
        </is>
      </c>
      <c r="J344"/>
      <c r="K344" t="inlineStr">
        <is>
          <t xml:space="preserve">Бангладеш</t>
        </is>
      </c>
      <c r="L344" t="inlineStr">
        <is>
          <t xml:space="preserve">6204420000</t>
        </is>
      </c>
      <c r="M344" t="inlineStr">
        <is>
          <t xml:space="preserve">Декларация № ЕАЭС № BY/112 11.01. ТР017 122.01 08246, до 19.04.2028</t>
        </is>
      </c>
      <c r="N344" t="inlineStr">
        <is>
          <t xml:space="preserve">35 × 30 × 2</t>
        </is>
      </c>
      <c r="O344" t="inlineStr">
        <is>
          <t xml:space="preserve">0,45</t>
        </is>
      </c>
      <c r="P344" t="inlineStr">
        <is>
          <t xml:space="preserve">4816148108890</t>
        </is>
      </c>
      <c r="Q344" s="3" t="str">
        <f>HYPERLINK("https://modify.by/img/208758049/1.webp","фото")</f>
        <v>фото</v>
      </c>
      <c r="R344" s="3" t="str">
        <f>HYPERLINK("https://modify.by/catalog/platya/208758049/?utm_source=price&amp;utm_medium=xlsx","открыть")</f>
        <v>открыть</v>
      </c>
    </row>
    <row r="345">
      <c r="A345" t="inlineStr">
        <is>
          <t xml:space="preserve">Женский</t>
        </is>
      </c>
      <c r="B345" t="inlineStr">
        <is>
          <t xml:space="preserve">Платья</t>
        </is>
      </c>
      <c r="C345" t="inlineStr">
        <is>
          <t xml:space="preserve">трикотажное платье лапша короткое облегающее</t>
        </is>
      </c>
      <c r="D345" t="inlineStr">
        <is>
          <t xml:space="preserve">DR32W06серый</t>
        </is>
      </c>
      <c r="E345" t="inlineStr">
        <is>
          <t xml:space="preserve">серый</t>
        </is>
      </c>
      <c r="F345" t="inlineStr">
        <is>
          <t xml:space="preserve">44</t>
        </is>
      </c>
      <c r="G345">
        <v>22</v>
      </c>
      <c r="H345" s="2">
        <v>28.0</v>
      </c>
      <c r="I345" t="inlineStr">
        <is>
          <t xml:space="preserve">Хлопок 95% Эластан 5%</t>
        </is>
      </c>
      <c r="J345"/>
      <c r="K345" t="inlineStr">
        <is>
          <t xml:space="preserve">Бангладеш</t>
        </is>
      </c>
      <c r="L345" t="inlineStr">
        <is>
          <t xml:space="preserve">6204420000</t>
        </is>
      </c>
      <c r="M345" t="inlineStr">
        <is>
          <t xml:space="preserve">Декларация № ЕАЭС № BY/112 11.01. ТР017 122.01 08246, до 19.04.2028</t>
        </is>
      </c>
      <c r="N345" t="inlineStr">
        <is>
          <t xml:space="preserve">35 × 30 × 2</t>
        </is>
      </c>
      <c r="O345" t="inlineStr">
        <is>
          <t xml:space="preserve">0,45</t>
        </is>
      </c>
      <c r="P345" t="inlineStr">
        <is>
          <t xml:space="preserve">2038096197630</t>
        </is>
      </c>
      <c r="Q345" s="3" t="str">
        <f>HYPERLINK("https://modify.by/img/208758049/1.webp","фото")</f>
        <v>фото</v>
      </c>
      <c r="R345" s="3" t="str">
        <f>HYPERLINK("https://modify.by/catalog/platya/208758049/?utm_source=price&amp;utm_medium=xlsx","открыть")</f>
        <v>открыть</v>
      </c>
    </row>
    <row r="346">
      <c r="A346" t="inlineStr">
        <is>
          <t xml:space="preserve">Женский</t>
        </is>
      </c>
      <c r="B346" t="inlineStr">
        <is>
          <t xml:space="preserve">Платья</t>
        </is>
      </c>
      <c r="C346" t="inlineStr">
        <is>
          <t xml:space="preserve">трикотажное платье лапша короткое облегающее</t>
        </is>
      </c>
      <c r="D346" t="inlineStr">
        <is>
          <t xml:space="preserve">DR32W06серый</t>
        </is>
      </c>
      <c r="E346" t="inlineStr">
        <is>
          <t xml:space="preserve">серый</t>
        </is>
      </c>
      <c r="F346" t="inlineStr">
        <is>
          <t xml:space="preserve">44</t>
        </is>
      </c>
      <c r="G346">
        <v>22</v>
      </c>
      <c r="H346" s="2">
        <v>28.0</v>
      </c>
      <c r="I346" t="inlineStr">
        <is>
          <t xml:space="preserve">Хлопок 95% Эластан 5%</t>
        </is>
      </c>
      <c r="J346"/>
      <c r="K346" t="inlineStr">
        <is>
          <t xml:space="preserve">Бангладеш</t>
        </is>
      </c>
      <c r="L346" t="inlineStr">
        <is>
          <t xml:space="preserve">6204420000</t>
        </is>
      </c>
      <c r="M346" t="inlineStr">
        <is>
          <t xml:space="preserve">Декларация № ЕАЭС № BY/112 11.01. ТР017 122.01 08246, до 19.04.2028</t>
        </is>
      </c>
      <c r="N346" t="inlineStr">
        <is>
          <t xml:space="preserve">35 × 30 × 2</t>
        </is>
      </c>
      <c r="O346" t="inlineStr">
        <is>
          <t xml:space="preserve">0,45</t>
        </is>
      </c>
      <c r="P346" t="inlineStr">
        <is>
          <t xml:space="preserve">4816148108906</t>
        </is>
      </c>
      <c r="Q346" s="3" t="str">
        <f>HYPERLINK("https://modify.by/img/208758049/1.webp","фото")</f>
        <v>фото</v>
      </c>
      <c r="R346" s="3" t="str">
        <f>HYPERLINK("https://modify.by/catalog/platya/208758049/?utm_source=price&amp;utm_medium=xlsx","открыть")</f>
        <v>открыть</v>
      </c>
    </row>
    <row r="347">
      <c r="A347" t="inlineStr">
        <is>
          <t xml:space="preserve">Женский</t>
        </is>
      </c>
      <c r="B347" t="inlineStr">
        <is>
          <t xml:space="preserve">Поло</t>
        </is>
      </c>
      <c r="C347" t="inlineStr">
        <is>
          <t xml:space="preserve">Поло с коротким рукавом трикотаж</t>
        </is>
      </c>
      <c r="D347" t="inlineStr">
        <is>
          <t xml:space="preserve">T3PO52W04синий</t>
        </is>
      </c>
      <c r="E347" t="inlineStr">
        <is>
          <t xml:space="preserve">синий</t>
        </is>
      </c>
      <c r="F347" t="inlineStr">
        <is>
          <t xml:space="preserve">44</t>
        </is>
      </c>
      <c r="G347">
        <v>1</v>
      </c>
      <c r="H347" s="2">
        <v>48.0</v>
      </c>
      <c r="I347" t="inlineStr">
        <is>
          <t xml:space="preserve">95% полиэстер, 5% эластан</t>
        </is>
      </c>
      <c r="J347"/>
      <c r="K347" t="inlineStr">
        <is>
          <t xml:space="preserve">КНДР</t>
        </is>
      </c>
      <c r="L347" t="inlineStr">
        <is>
          <t xml:space="preserve">6109909000</t>
        </is>
      </c>
      <c r="M347" t="inlineStr">
        <is>
          <t xml:space="preserve">Декларация № ЕАЭС N RU Д-CN.РА02.В.44039/24, до 28.02.2029</t>
        </is>
      </c>
      <c r="N347" t="inlineStr">
        <is>
          <t xml:space="preserve">30 × 20 × 2</t>
        </is>
      </c>
      <c r="O347" t="inlineStr">
        <is>
          <t xml:space="preserve">0,2</t>
        </is>
      </c>
      <c r="P347" t="inlineStr">
        <is>
          <t xml:space="preserve">4816148166081</t>
        </is>
      </c>
      <c r="Q347" s="3" t="str">
        <f>HYPERLINK("https://modify.by/img/404297780/1.webp","фото")</f>
        <v>фото</v>
      </c>
      <c r="R347" s="3" t="str">
        <f>HYPERLINK("https://modify.by/catalog/polo/404297780/?utm_source=price&amp;utm_medium=xlsx","открыть")</f>
        <v>открыть</v>
      </c>
    </row>
    <row r="348">
      <c r="A348" t="inlineStr">
        <is>
          <t xml:space="preserve">Женский</t>
        </is>
      </c>
      <c r="B348" t="inlineStr">
        <is>
          <t xml:space="preserve">Пуховики</t>
        </is>
      </c>
      <c r="C348" t="inlineStr">
        <is>
          <t xml:space="preserve">Пуховик с капюшоном в корейском стиле оверсайз</t>
        </is>
      </c>
      <c r="D348" t="inlineStr">
        <is>
          <t xml:space="preserve">T3PJ52W02черный</t>
        </is>
      </c>
      <c r="E348" t="inlineStr">
        <is>
          <t xml:space="preserve">черный</t>
        </is>
      </c>
      <c r="F348" t="inlineStr">
        <is>
          <t xml:space="preserve">50</t>
        </is>
      </c>
      <c r="G348">
        <v>1</v>
      </c>
      <c r="H348" s="2">
        <v>105.0</v>
      </c>
      <c r="I348" t="inlineStr">
        <is>
          <t xml:space="preserve">полиэфирное волокно, пэ, хлопок</t>
        </is>
      </c>
      <c r="J348" t="inlineStr">
        <is>
          <t xml:space="preserve">зима</t>
        </is>
      </c>
      <c r="K348" t="inlineStr">
        <is>
          <t xml:space="preserve">Китай</t>
        </is>
      </c>
      <c r="L348" t="inlineStr">
        <is>
          <t xml:space="preserve">6202400009</t>
        </is>
      </c>
      <c r="M348" t="inlineStr">
        <is>
          <t xml:space="preserve">Декларация № ЕАЭС N RU Д-CN.РА11.В.01375/24, до 28.11.2025</t>
        </is>
      </c>
      <c r="N348" t="inlineStr">
        <is>
          <t xml:space="preserve">40 × 28 × 11</t>
        </is>
      </c>
      <c r="O348" t="inlineStr">
        <is>
          <t xml:space="preserve">0,86</t>
        </is>
      </c>
      <c r="P348" t="inlineStr">
        <is>
          <t xml:space="preserve">4816148163349</t>
        </is>
      </c>
      <c r="Q348" s="3" t="str">
        <f>HYPERLINK("https://modify.by/img/532070318/1.webp","фото")</f>
        <v>фото</v>
      </c>
      <c r="R348" s="3" t="str">
        <f>HYPERLINK("https://modify.by/catalog/puhoviki/532070318/?utm_source=price&amp;utm_medium=xlsx","открыть")</f>
        <v>открыть</v>
      </c>
    </row>
    <row r="349">
      <c r="A349" t="inlineStr">
        <is>
          <t xml:space="preserve">Женский</t>
        </is>
      </c>
      <c r="B349" t="inlineStr">
        <is>
          <t xml:space="preserve">Резиновые сапоги</t>
        </is>
      </c>
      <c r="C349" t="inlineStr">
        <is>
          <t xml:space="preserve">Полусапожки резиновые непромокаемые, белый</t>
        </is>
      </c>
      <c r="D349" t="inlineStr">
        <is>
          <t xml:space="preserve">815белый</t>
        </is>
      </c>
      <c r="E349" t="inlineStr">
        <is>
          <t xml:space="preserve">белый</t>
        </is>
      </c>
      <c r="F349" t="inlineStr">
        <is>
          <t xml:space="preserve">35</t>
        </is>
      </c>
      <c r="G349">
        <v>1</v>
      </c>
      <c r="H349" s="2">
        <v>46.0</v>
      </c>
      <c r="I349" t="inlineStr">
        <is>
          <t xml:space="preserve">100% ПВХ</t>
        </is>
      </c>
      <c r="J349" t="inlineStr">
        <is>
          <t xml:space="preserve">демисезон</t>
        </is>
      </c>
      <c r="K349" t="inlineStr">
        <is>
          <t xml:space="preserve">Китай</t>
        </is>
      </c>
      <c r="L349" t="inlineStr">
        <is>
          <t xml:space="preserve">6401929000</t>
        </is>
      </c>
      <c r="M349" t="inlineStr">
        <is>
          <t xml:space="preserve">Декларация № ЕАЭС KG417/533.Д.0004548, до 27.03.2029</t>
        </is>
      </c>
      <c r="N349" t="inlineStr">
        <is>
          <t xml:space="preserve">33 × 24 × 15</t>
        </is>
      </c>
      <c r="O349" t="inlineStr">
        <is>
          <t xml:space="preserve">0,74</t>
        </is>
      </c>
      <c r="P349" t="inlineStr">
        <is>
          <t xml:space="preserve">4816148150936</t>
        </is>
      </c>
      <c r="Q349" s="3" t="str">
        <f>HYPERLINK("https://modify.by/img/302253597/1.webp","фото")</f>
        <v>фото</v>
      </c>
      <c r="R349" s="3" t="str">
        <f>HYPERLINK("https://modify.by/catalog/rezinovye-sapogi/302253597/?utm_source=price&amp;utm_medium=xlsx","открыть")</f>
        <v>открыть</v>
      </c>
    </row>
    <row r="350">
      <c r="A350" t="inlineStr">
        <is>
          <t xml:space="preserve">Женский</t>
        </is>
      </c>
      <c r="B350" t="inlineStr">
        <is>
          <t xml:space="preserve">Резиновые сапоги</t>
        </is>
      </c>
      <c r="C350" t="inlineStr">
        <is>
          <t xml:space="preserve">Полусапожки резиновые непромокаемые, белый</t>
        </is>
      </c>
      <c r="D350" t="inlineStr">
        <is>
          <t xml:space="preserve">815белый</t>
        </is>
      </c>
      <c r="E350" t="inlineStr">
        <is>
          <t xml:space="preserve">белый</t>
        </is>
      </c>
      <c r="F350" t="inlineStr">
        <is>
          <t xml:space="preserve">36</t>
        </is>
      </c>
      <c r="G350">
        <v>1</v>
      </c>
      <c r="H350" s="2">
        <v>46.0</v>
      </c>
      <c r="I350" t="inlineStr">
        <is>
          <t xml:space="preserve">100% ПВХ</t>
        </is>
      </c>
      <c r="J350" t="inlineStr">
        <is>
          <t xml:space="preserve">демисезон</t>
        </is>
      </c>
      <c r="K350" t="inlineStr">
        <is>
          <t xml:space="preserve">Китай</t>
        </is>
      </c>
      <c r="L350" t="inlineStr">
        <is>
          <t xml:space="preserve">6401929000</t>
        </is>
      </c>
      <c r="M350" t="inlineStr">
        <is>
          <t xml:space="preserve">Декларация № ЕАЭС KG417/533.Д.0004548, до 27.03.2029</t>
        </is>
      </c>
      <c r="N350" t="inlineStr">
        <is>
          <t xml:space="preserve">33 × 24 × 15</t>
        </is>
      </c>
      <c r="O350" t="inlineStr">
        <is>
          <t xml:space="preserve">0,74</t>
        </is>
      </c>
      <c r="P350" t="inlineStr">
        <is>
          <t xml:space="preserve">4816148150943</t>
        </is>
      </c>
      <c r="Q350" s="3" t="str">
        <f>HYPERLINK("https://modify.by/img/302253597/1.webp","фото")</f>
        <v>фото</v>
      </c>
      <c r="R350" s="3" t="str">
        <f>HYPERLINK("https://modify.by/catalog/rezinovye-sapogi/302253597/?utm_source=price&amp;utm_medium=xlsx","открыть")</f>
        <v>открыть</v>
      </c>
    </row>
    <row r="351">
      <c r="A351" t="inlineStr">
        <is>
          <t xml:space="preserve">Женский</t>
        </is>
      </c>
      <c r="B351" t="inlineStr">
        <is>
          <t xml:space="preserve">Резиновые сапоги</t>
        </is>
      </c>
      <c r="C351" t="inlineStr">
        <is>
          <t xml:space="preserve">Полусапожки резиновые непромокаемые, белый</t>
        </is>
      </c>
      <c r="D351" t="inlineStr">
        <is>
          <t xml:space="preserve">815белый</t>
        </is>
      </c>
      <c r="E351" t="inlineStr">
        <is>
          <t xml:space="preserve">белый</t>
        </is>
      </c>
      <c r="F351" t="inlineStr">
        <is>
          <t xml:space="preserve">38</t>
        </is>
      </c>
      <c r="G351">
        <v>1</v>
      </c>
      <c r="H351" s="2">
        <v>46.0</v>
      </c>
      <c r="I351" t="inlineStr">
        <is>
          <t xml:space="preserve">100% ПВХ</t>
        </is>
      </c>
      <c r="J351" t="inlineStr">
        <is>
          <t xml:space="preserve">демисезон</t>
        </is>
      </c>
      <c r="K351" t="inlineStr">
        <is>
          <t xml:space="preserve">Китай</t>
        </is>
      </c>
      <c r="L351" t="inlineStr">
        <is>
          <t xml:space="preserve">6401929000</t>
        </is>
      </c>
      <c r="M351" t="inlineStr">
        <is>
          <t xml:space="preserve">Декларация № ЕАЭС KG417/533.Д.0004548, до 27.03.2029</t>
        </is>
      </c>
      <c r="N351" t="inlineStr">
        <is>
          <t xml:space="preserve">33 × 24 × 15</t>
        </is>
      </c>
      <c r="O351" t="inlineStr">
        <is>
          <t xml:space="preserve">0,74</t>
        </is>
      </c>
      <c r="P351" t="inlineStr">
        <is>
          <t xml:space="preserve">4816148150967</t>
        </is>
      </c>
      <c r="Q351" s="3" t="str">
        <f>HYPERLINK("https://modify.by/img/302253597/1.webp","фото")</f>
        <v>фото</v>
      </c>
      <c r="R351" s="3" t="str">
        <f>HYPERLINK("https://modify.by/catalog/rezinovye-sapogi/302253597/?utm_source=price&amp;utm_medium=xlsx","открыть")</f>
        <v>открыть</v>
      </c>
    </row>
    <row r="352">
      <c r="A352" t="inlineStr">
        <is>
          <t xml:space="preserve">Женский</t>
        </is>
      </c>
      <c r="B352" t="inlineStr">
        <is>
          <t xml:space="preserve">Резиновые сапоги</t>
        </is>
      </c>
      <c r="C352" t="inlineStr">
        <is>
          <t xml:space="preserve">Полусапожки резиновые непромокаемые, белый</t>
        </is>
      </c>
      <c r="D352" t="inlineStr">
        <is>
          <t xml:space="preserve">815белый</t>
        </is>
      </c>
      <c r="E352" t="inlineStr">
        <is>
          <t xml:space="preserve">белый</t>
        </is>
      </c>
      <c r="F352" t="inlineStr">
        <is>
          <t xml:space="preserve">39</t>
        </is>
      </c>
      <c r="G352">
        <v>1</v>
      </c>
      <c r="H352" s="2">
        <v>46.0</v>
      </c>
      <c r="I352" t="inlineStr">
        <is>
          <t xml:space="preserve">100% ПВХ</t>
        </is>
      </c>
      <c r="J352" t="inlineStr">
        <is>
          <t xml:space="preserve">демисезон</t>
        </is>
      </c>
      <c r="K352" t="inlineStr">
        <is>
          <t xml:space="preserve">Китай</t>
        </is>
      </c>
      <c r="L352" t="inlineStr">
        <is>
          <t xml:space="preserve">6401929000</t>
        </is>
      </c>
      <c r="M352" t="inlineStr">
        <is>
          <t xml:space="preserve">Декларация № ЕАЭС KG417/533.Д.0004548, до 27.03.2029</t>
        </is>
      </c>
      <c r="N352" t="inlineStr">
        <is>
          <t xml:space="preserve">33 × 24 × 15</t>
        </is>
      </c>
      <c r="O352" t="inlineStr">
        <is>
          <t xml:space="preserve">0,74</t>
        </is>
      </c>
      <c r="P352" t="inlineStr">
        <is>
          <t xml:space="preserve">4816148150974</t>
        </is>
      </c>
      <c r="Q352" s="3" t="str">
        <f>HYPERLINK("https://modify.by/img/302253597/1.webp","фото")</f>
        <v>фото</v>
      </c>
      <c r="R352" s="3" t="str">
        <f>HYPERLINK("https://modify.by/catalog/rezinovye-sapogi/302253597/?utm_source=price&amp;utm_medium=xlsx","открыть")</f>
        <v>открыть</v>
      </c>
    </row>
    <row r="353">
      <c r="A353" t="inlineStr">
        <is>
          <t xml:space="preserve">Женский</t>
        </is>
      </c>
      <c r="B353" t="inlineStr">
        <is>
          <t xml:space="preserve">Резиновые сапоги</t>
        </is>
      </c>
      <c r="C353" t="inlineStr">
        <is>
          <t xml:space="preserve">Полусапожки резиновые непромокаемые, розовый</t>
        </is>
      </c>
      <c r="D353" t="inlineStr">
        <is>
          <t xml:space="preserve">815розовый</t>
        </is>
      </c>
      <c r="E353" t="inlineStr">
        <is>
          <t xml:space="preserve">розовый</t>
        </is>
      </c>
      <c r="F353" t="inlineStr">
        <is>
          <t xml:space="preserve">34</t>
        </is>
      </c>
      <c r="G353">
        <v>1</v>
      </c>
      <c r="H353" s="2">
        <v>46.0</v>
      </c>
      <c r="I353" t="inlineStr">
        <is>
          <t xml:space="preserve">100% ПВХ</t>
        </is>
      </c>
      <c r="J353" t="inlineStr">
        <is>
          <t xml:space="preserve">демисезон</t>
        </is>
      </c>
      <c r="K353" t="inlineStr">
        <is>
          <t xml:space="preserve">Китай</t>
        </is>
      </c>
      <c r="L353" t="inlineStr">
        <is>
          <t xml:space="preserve">6401929000</t>
        </is>
      </c>
      <c r="M353" t="inlineStr">
        <is>
          <t xml:space="preserve">Декларация № ЕАЭС KG417/533.Д.0004548, до 27.03.2029</t>
        </is>
      </c>
      <c r="N353" t="inlineStr">
        <is>
          <t xml:space="preserve">33 × 24 × 15</t>
        </is>
      </c>
      <c r="O353" t="inlineStr">
        <is>
          <t xml:space="preserve">0,74</t>
        </is>
      </c>
      <c r="P353" t="inlineStr">
        <is>
          <t xml:space="preserve">4816148150981</t>
        </is>
      </c>
      <c r="Q353" s="3" t="str">
        <f>HYPERLINK("https://modify.by/img/302253598/1.webp","фото")</f>
        <v>фото</v>
      </c>
      <c r="R353" s="3" t="str">
        <f>HYPERLINK("https://modify.by/catalog/rezinovye-sapogi/302253598/?utm_source=price&amp;utm_medium=xlsx","открыть")</f>
        <v>открыть</v>
      </c>
    </row>
    <row r="354">
      <c r="A354" t="inlineStr">
        <is>
          <t xml:space="preserve">Женский</t>
        </is>
      </c>
      <c r="B354" t="inlineStr">
        <is>
          <t xml:space="preserve">Резиновые сапоги</t>
        </is>
      </c>
      <c r="C354" t="inlineStr">
        <is>
          <t xml:space="preserve">Полусапожки резиновые непромокаемые, розовый</t>
        </is>
      </c>
      <c r="D354" t="inlineStr">
        <is>
          <t xml:space="preserve">815розовый</t>
        </is>
      </c>
      <c r="E354" t="inlineStr">
        <is>
          <t xml:space="preserve">розовый</t>
        </is>
      </c>
      <c r="F354" t="inlineStr">
        <is>
          <t xml:space="preserve">35</t>
        </is>
      </c>
      <c r="G354">
        <v>2</v>
      </c>
      <c r="H354" s="2">
        <v>46.0</v>
      </c>
      <c r="I354" t="inlineStr">
        <is>
          <t xml:space="preserve">100% ПВХ</t>
        </is>
      </c>
      <c r="J354" t="inlineStr">
        <is>
          <t xml:space="preserve">демисезон</t>
        </is>
      </c>
      <c r="K354" t="inlineStr">
        <is>
          <t xml:space="preserve">Китай</t>
        </is>
      </c>
      <c r="L354" t="inlineStr">
        <is>
          <t xml:space="preserve">6401929000</t>
        </is>
      </c>
      <c r="M354" t="inlineStr">
        <is>
          <t xml:space="preserve">Декларация № ЕАЭС KG417/533.Д.0004548, до 27.03.2029</t>
        </is>
      </c>
      <c r="N354" t="inlineStr">
        <is>
          <t xml:space="preserve">33 × 24 × 15</t>
        </is>
      </c>
      <c r="O354" t="inlineStr">
        <is>
          <t xml:space="preserve">0,74</t>
        </is>
      </c>
      <c r="P354" t="inlineStr">
        <is>
          <t xml:space="preserve">4816148150998</t>
        </is>
      </c>
      <c r="Q354" s="3" t="str">
        <f>HYPERLINK("https://modify.by/img/302253598/1.webp","фото")</f>
        <v>фото</v>
      </c>
      <c r="R354" s="3" t="str">
        <f>HYPERLINK("https://modify.by/catalog/rezinovye-sapogi/302253598/?utm_source=price&amp;utm_medium=xlsx","открыть")</f>
        <v>открыть</v>
      </c>
    </row>
    <row r="355">
      <c r="A355" t="inlineStr">
        <is>
          <t xml:space="preserve">Женский</t>
        </is>
      </c>
      <c r="B355" t="inlineStr">
        <is>
          <t xml:space="preserve">Резиновые сапоги</t>
        </is>
      </c>
      <c r="C355" t="inlineStr">
        <is>
          <t xml:space="preserve">Полусапожки резиновые непромокаемые, розовый</t>
        </is>
      </c>
      <c r="D355" t="inlineStr">
        <is>
          <t xml:space="preserve">815розовый</t>
        </is>
      </c>
      <c r="E355" t="inlineStr">
        <is>
          <t xml:space="preserve">розовый</t>
        </is>
      </c>
      <c r="F355" t="inlineStr">
        <is>
          <t xml:space="preserve">36</t>
        </is>
      </c>
      <c r="G355">
        <v>3</v>
      </c>
      <c r="H355" s="2">
        <v>46.0</v>
      </c>
      <c r="I355" t="inlineStr">
        <is>
          <t xml:space="preserve">100% ПВХ</t>
        </is>
      </c>
      <c r="J355" t="inlineStr">
        <is>
          <t xml:space="preserve">демисезон</t>
        </is>
      </c>
      <c r="K355" t="inlineStr">
        <is>
          <t xml:space="preserve">Китай</t>
        </is>
      </c>
      <c r="L355" t="inlineStr">
        <is>
          <t xml:space="preserve">6401929000</t>
        </is>
      </c>
      <c r="M355" t="inlineStr">
        <is>
          <t xml:space="preserve">Декларация № ЕАЭС KG417/533.Д.0004548, до 27.03.2029</t>
        </is>
      </c>
      <c r="N355" t="inlineStr">
        <is>
          <t xml:space="preserve">33 × 24 × 15</t>
        </is>
      </c>
      <c r="O355" t="inlineStr">
        <is>
          <t xml:space="preserve">0,74</t>
        </is>
      </c>
      <c r="P355" t="inlineStr">
        <is>
          <t xml:space="preserve">4816148151001</t>
        </is>
      </c>
      <c r="Q355" s="3" t="str">
        <f>HYPERLINK("https://modify.by/img/302253598/1.webp","фото")</f>
        <v>фото</v>
      </c>
      <c r="R355" s="3" t="str">
        <f>HYPERLINK("https://modify.by/catalog/rezinovye-sapogi/302253598/?utm_source=price&amp;utm_medium=xlsx","открыть")</f>
        <v>открыть</v>
      </c>
    </row>
    <row r="356">
      <c r="A356" t="inlineStr">
        <is>
          <t xml:space="preserve">Женский</t>
        </is>
      </c>
      <c r="B356" t="inlineStr">
        <is>
          <t xml:space="preserve">Резиновые сапоги</t>
        </is>
      </c>
      <c r="C356" t="inlineStr">
        <is>
          <t xml:space="preserve">Полусапожки резиновые непромокаемые, розовый</t>
        </is>
      </c>
      <c r="D356" t="inlineStr">
        <is>
          <t xml:space="preserve">815розовый</t>
        </is>
      </c>
      <c r="E356" t="inlineStr">
        <is>
          <t xml:space="preserve">розовый</t>
        </is>
      </c>
      <c r="F356" t="inlineStr">
        <is>
          <t xml:space="preserve">39</t>
        </is>
      </c>
      <c r="G356">
        <v>1</v>
      </c>
      <c r="H356" s="2">
        <v>46.0</v>
      </c>
      <c r="I356" t="inlineStr">
        <is>
          <t xml:space="preserve">100% ПВХ</t>
        </is>
      </c>
      <c r="J356" t="inlineStr">
        <is>
          <t xml:space="preserve">демисезон</t>
        </is>
      </c>
      <c r="K356" t="inlineStr">
        <is>
          <t xml:space="preserve">Китай</t>
        </is>
      </c>
      <c r="L356" t="inlineStr">
        <is>
          <t xml:space="preserve">6401929000</t>
        </is>
      </c>
      <c r="M356" t="inlineStr">
        <is>
          <t xml:space="preserve">Декларация № ЕАЭС KG417/533.Д.0004548, до 27.03.2029</t>
        </is>
      </c>
      <c r="N356" t="inlineStr">
        <is>
          <t xml:space="preserve">33 × 24 × 15</t>
        </is>
      </c>
      <c r="O356" t="inlineStr">
        <is>
          <t xml:space="preserve">0,74</t>
        </is>
      </c>
      <c r="P356" t="inlineStr">
        <is>
          <t xml:space="preserve">4816148151032</t>
        </is>
      </c>
      <c r="Q356" s="3" t="str">
        <f>HYPERLINK("https://modify.by/img/302253598/1.webp","фото")</f>
        <v>фото</v>
      </c>
      <c r="R356" s="3" t="str">
        <f>HYPERLINK("https://modify.by/catalog/rezinovye-sapogi/302253598/?utm_source=price&amp;utm_medium=xlsx","открыть")</f>
        <v>открыть</v>
      </c>
    </row>
    <row r="357">
      <c r="A357" t="inlineStr">
        <is>
          <t xml:space="preserve">Женский</t>
        </is>
      </c>
      <c r="B357" t="inlineStr">
        <is>
          <t xml:space="preserve">Резиновые сапоги</t>
        </is>
      </c>
      <c r="C357" t="inlineStr">
        <is>
          <t xml:space="preserve">Полусапожки резиновые непромокаемые, серый</t>
        </is>
      </c>
      <c r="D357" t="inlineStr">
        <is>
          <t xml:space="preserve">815серый</t>
        </is>
      </c>
      <c r="E357" t="inlineStr">
        <is>
          <t xml:space="preserve">серый</t>
        </is>
      </c>
      <c r="F357" t="inlineStr">
        <is>
          <t xml:space="preserve">34</t>
        </is>
      </c>
      <c r="G357">
        <v>7</v>
      </c>
      <c r="H357" s="2">
        <v>46.0</v>
      </c>
      <c r="I357" t="inlineStr">
        <is>
          <t xml:space="preserve">100% ПВХ</t>
        </is>
      </c>
      <c r="J357" t="inlineStr">
        <is>
          <t xml:space="preserve">демисезон</t>
        </is>
      </c>
      <c r="K357" t="inlineStr">
        <is>
          <t xml:space="preserve">Китай</t>
        </is>
      </c>
      <c r="L357" t="inlineStr">
        <is>
          <t xml:space="preserve">6401929000</t>
        </is>
      </c>
      <c r="M357" t="inlineStr">
        <is>
          <t xml:space="preserve">Декларация № ЕАЭС KG417/533.Д.0004548, до 27.03.2029</t>
        </is>
      </c>
      <c r="N357" t="inlineStr">
        <is>
          <t xml:space="preserve">33 × 24 × 15</t>
        </is>
      </c>
      <c r="O357" t="inlineStr">
        <is>
          <t xml:space="preserve">0,74</t>
        </is>
      </c>
      <c r="P357" t="inlineStr">
        <is>
          <t xml:space="preserve">4816148151049</t>
        </is>
      </c>
      <c r="Q357" s="3" t="str">
        <f>HYPERLINK("https://modify.by/img/302253599/1.webp","фото")</f>
        <v>фото</v>
      </c>
      <c r="R357" s="3" t="str">
        <f>HYPERLINK("https://modify.by/catalog/rezinovye-sapogi/302253599/?utm_source=price&amp;utm_medium=xlsx","открыть")</f>
        <v>открыть</v>
      </c>
    </row>
    <row r="358">
      <c r="A358" t="inlineStr">
        <is>
          <t xml:space="preserve">Женский</t>
        </is>
      </c>
      <c r="B358" t="inlineStr">
        <is>
          <t xml:space="preserve">Резиновые сапоги</t>
        </is>
      </c>
      <c r="C358" t="inlineStr">
        <is>
          <t xml:space="preserve">Полусапожки резиновые непромокаемые, серый</t>
        </is>
      </c>
      <c r="D358" t="inlineStr">
        <is>
          <t xml:space="preserve">815серый</t>
        </is>
      </c>
      <c r="E358" t="inlineStr">
        <is>
          <t xml:space="preserve">серый</t>
        </is>
      </c>
      <c r="F358" t="inlineStr">
        <is>
          <t xml:space="preserve">35</t>
        </is>
      </c>
      <c r="G358">
        <v>6</v>
      </c>
      <c r="H358" s="2">
        <v>46.0</v>
      </c>
      <c r="I358" t="inlineStr">
        <is>
          <t xml:space="preserve">100% ПВХ</t>
        </is>
      </c>
      <c r="J358" t="inlineStr">
        <is>
          <t xml:space="preserve">демисезон</t>
        </is>
      </c>
      <c r="K358" t="inlineStr">
        <is>
          <t xml:space="preserve">Китай</t>
        </is>
      </c>
      <c r="L358" t="inlineStr">
        <is>
          <t xml:space="preserve">6401929000</t>
        </is>
      </c>
      <c r="M358" t="inlineStr">
        <is>
          <t xml:space="preserve">Декларация № ЕАЭС KG417/533.Д.0004548, до 27.03.2029</t>
        </is>
      </c>
      <c r="N358" t="inlineStr">
        <is>
          <t xml:space="preserve">33 × 24 × 15</t>
        </is>
      </c>
      <c r="O358" t="inlineStr">
        <is>
          <t xml:space="preserve">0,74</t>
        </is>
      </c>
      <c r="P358" t="inlineStr">
        <is>
          <t xml:space="preserve">4816148151056</t>
        </is>
      </c>
      <c r="Q358" s="3" t="str">
        <f>HYPERLINK("https://modify.by/img/302253599/1.webp","фото")</f>
        <v>фото</v>
      </c>
      <c r="R358" s="3" t="str">
        <f>HYPERLINK("https://modify.by/catalog/rezinovye-sapogi/302253599/?utm_source=price&amp;utm_medium=xlsx","открыть")</f>
        <v>открыть</v>
      </c>
    </row>
    <row r="359">
      <c r="A359" t="inlineStr">
        <is>
          <t xml:space="preserve">Женский</t>
        </is>
      </c>
      <c r="B359" t="inlineStr">
        <is>
          <t xml:space="preserve">Резиновые сапоги</t>
        </is>
      </c>
      <c r="C359" t="inlineStr">
        <is>
          <t xml:space="preserve">Полусапожки резиновые непромокаемые, серый</t>
        </is>
      </c>
      <c r="D359" t="inlineStr">
        <is>
          <t xml:space="preserve">815серый</t>
        </is>
      </c>
      <c r="E359" t="inlineStr">
        <is>
          <t xml:space="preserve">серый</t>
        </is>
      </c>
      <c r="F359" t="inlineStr">
        <is>
          <t xml:space="preserve">36</t>
        </is>
      </c>
      <c r="G359">
        <v>30</v>
      </c>
      <c r="H359" s="2">
        <v>46.0</v>
      </c>
      <c r="I359" t="inlineStr">
        <is>
          <t xml:space="preserve">100% ПВХ</t>
        </is>
      </c>
      <c r="J359" t="inlineStr">
        <is>
          <t xml:space="preserve">демисезон</t>
        </is>
      </c>
      <c r="K359" t="inlineStr">
        <is>
          <t xml:space="preserve">Китай</t>
        </is>
      </c>
      <c r="L359" t="inlineStr">
        <is>
          <t xml:space="preserve">6401929000</t>
        </is>
      </c>
      <c r="M359" t="inlineStr">
        <is>
          <t xml:space="preserve">Декларация № ЕАЭС KG417/533.Д.0004548, до 27.03.2029</t>
        </is>
      </c>
      <c r="N359" t="inlineStr">
        <is>
          <t xml:space="preserve">33 × 24 × 15</t>
        </is>
      </c>
      <c r="O359" t="inlineStr">
        <is>
          <t xml:space="preserve">0,74</t>
        </is>
      </c>
      <c r="P359" t="inlineStr">
        <is>
          <t xml:space="preserve">4816148151063</t>
        </is>
      </c>
      <c r="Q359" s="3" t="str">
        <f>HYPERLINK("https://modify.by/img/302253599/1.webp","фото")</f>
        <v>фото</v>
      </c>
      <c r="R359" s="3" t="str">
        <f>HYPERLINK("https://modify.by/catalog/rezinovye-sapogi/302253599/?utm_source=price&amp;utm_medium=xlsx","открыть")</f>
        <v>открыть</v>
      </c>
    </row>
    <row r="360">
      <c r="A360" t="inlineStr">
        <is>
          <t xml:space="preserve">Женский</t>
        </is>
      </c>
      <c r="B360" t="inlineStr">
        <is>
          <t xml:space="preserve">Резиновые сапоги</t>
        </is>
      </c>
      <c r="C360" t="inlineStr">
        <is>
          <t xml:space="preserve">Полусапожки резиновые непромокаемые, серый</t>
        </is>
      </c>
      <c r="D360" t="inlineStr">
        <is>
          <t xml:space="preserve">815серый</t>
        </is>
      </c>
      <c r="E360" t="inlineStr">
        <is>
          <t xml:space="preserve">серый</t>
        </is>
      </c>
      <c r="F360" t="inlineStr">
        <is>
          <t xml:space="preserve">37</t>
        </is>
      </c>
      <c r="G360">
        <v>9</v>
      </c>
      <c r="H360" s="2">
        <v>46.0</v>
      </c>
      <c r="I360" t="inlineStr">
        <is>
          <t xml:space="preserve">100% ПВХ</t>
        </is>
      </c>
      <c r="J360" t="inlineStr">
        <is>
          <t xml:space="preserve">демисезон</t>
        </is>
      </c>
      <c r="K360" t="inlineStr">
        <is>
          <t xml:space="preserve">Китай</t>
        </is>
      </c>
      <c r="L360" t="inlineStr">
        <is>
          <t xml:space="preserve">6401929000</t>
        </is>
      </c>
      <c r="M360" t="inlineStr">
        <is>
          <t xml:space="preserve">Декларация № ЕАЭС KG417/533.Д.0004548, до 27.03.2029</t>
        </is>
      </c>
      <c r="N360" t="inlineStr">
        <is>
          <t xml:space="preserve">33 × 24 × 15</t>
        </is>
      </c>
      <c r="O360" t="inlineStr">
        <is>
          <t xml:space="preserve">0,74</t>
        </is>
      </c>
      <c r="P360" t="inlineStr">
        <is>
          <t xml:space="preserve">4816148151070</t>
        </is>
      </c>
      <c r="Q360" s="3" t="str">
        <f>HYPERLINK("https://modify.by/img/302253599/1.webp","фото")</f>
        <v>фото</v>
      </c>
      <c r="R360" s="3" t="str">
        <f>HYPERLINK("https://modify.by/catalog/rezinovye-sapogi/302253599/?utm_source=price&amp;utm_medium=xlsx","открыть")</f>
        <v>открыть</v>
      </c>
    </row>
    <row r="361">
      <c r="A361" t="inlineStr">
        <is>
          <t xml:space="preserve">Женский</t>
        </is>
      </c>
      <c r="B361" t="inlineStr">
        <is>
          <t xml:space="preserve">Резиновые сапоги</t>
        </is>
      </c>
      <c r="C361" t="inlineStr">
        <is>
          <t xml:space="preserve">Полусапожки резиновые непромокаемые, серый</t>
        </is>
      </c>
      <c r="D361" t="inlineStr">
        <is>
          <t xml:space="preserve">815серый</t>
        </is>
      </c>
      <c r="E361" t="inlineStr">
        <is>
          <t xml:space="preserve">серый</t>
        </is>
      </c>
      <c r="F361" t="inlineStr">
        <is>
          <t xml:space="preserve">38</t>
        </is>
      </c>
      <c r="G361">
        <v>8</v>
      </c>
      <c r="H361" s="2">
        <v>46.0</v>
      </c>
      <c r="I361" t="inlineStr">
        <is>
          <t xml:space="preserve">100% ПВХ</t>
        </is>
      </c>
      <c r="J361" t="inlineStr">
        <is>
          <t xml:space="preserve">демисезон</t>
        </is>
      </c>
      <c r="K361" t="inlineStr">
        <is>
          <t xml:space="preserve">Китай</t>
        </is>
      </c>
      <c r="L361" t="inlineStr">
        <is>
          <t xml:space="preserve">6401929000</t>
        </is>
      </c>
      <c r="M361" t="inlineStr">
        <is>
          <t xml:space="preserve">Декларация № ЕАЭС KG417/533.Д.0004548, до 27.03.2029</t>
        </is>
      </c>
      <c r="N361" t="inlineStr">
        <is>
          <t xml:space="preserve">33 × 24 × 15</t>
        </is>
      </c>
      <c r="O361" t="inlineStr">
        <is>
          <t xml:space="preserve">0,74</t>
        </is>
      </c>
      <c r="P361" t="inlineStr">
        <is>
          <t xml:space="preserve">4816148151087</t>
        </is>
      </c>
      <c r="Q361" s="3" t="str">
        <f>HYPERLINK("https://modify.by/img/302253599/1.webp","фото")</f>
        <v>фото</v>
      </c>
      <c r="R361" s="3" t="str">
        <f>HYPERLINK("https://modify.by/catalog/rezinovye-sapogi/302253599/?utm_source=price&amp;utm_medium=xlsx","открыть")</f>
        <v>открыть</v>
      </c>
    </row>
    <row r="362">
      <c r="A362" t="inlineStr">
        <is>
          <t xml:space="preserve">Женский</t>
        </is>
      </c>
      <c r="B362" t="inlineStr">
        <is>
          <t xml:space="preserve">Резиновые сапоги</t>
        </is>
      </c>
      <c r="C362" t="inlineStr">
        <is>
          <t xml:space="preserve">Полусапожки резиновые непромокаемые, серый</t>
        </is>
      </c>
      <c r="D362" t="inlineStr">
        <is>
          <t xml:space="preserve">815серый</t>
        </is>
      </c>
      <c r="E362" t="inlineStr">
        <is>
          <t xml:space="preserve">серый</t>
        </is>
      </c>
      <c r="F362" t="inlineStr">
        <is>
          <t xml:space="preserve">39</t>
        </is>
      </c>
      <c r="G362">
        <v>13</v>
      </c>
      <c r="H362" s="2">
        <v>46.0</v>
      </c>
      <c r="I362" t="inlineStr">
        <is>
          <t xml:space="preserve">100% ПВХ</t>
        </is>
      </c>
      <c r="J362" t="inlineStr">
        <is>
          <t xml:space="preserve">демисезон</t>
        </is>
      </c>
      <c r="K362" t="inlineStr">
        <is>
          <t xml:space="preserve">Китай</t>
        </is>
      </c>
      <c r="L362" t="inlineStr">
        <is>
          <t xml:space="preserve">6401929000</t>
        </is>
      </c>
      <c r="M362" t="inlineStr">
        <is>
          <t xml:space="preserve">Декларация № ЕАЭС KG417/533.Д.0004548, до 27.03.2029</t>
        </is>
      </c>
      <c r="N362" t="inlineStr">
        <is>
          <t xml:space="preserve">33 × 24 × 15</t>
        </is>
      </c>
      <c r="O362" t="inlineStr">
        <is>
          <t xml:space="preserve">0,74</t>
        </is>
      </c>
      <c r="P362" t="inlineStr">
        <is>
          <t xml:space="preserve">4816148151094</t>
        </is>
      </c>
      <c r="Q362" s="3" t="str">
        <f>HYPERLINK("https://modify.by/img/302253599/1.webp","фото")</f>
        <v>фото</v>
      </c>
      <c r="R362" s="3" t="str">
        <f>HYPERLINK("https://modify.by/catalog/rezinovye-sapogi/302253599/?utm_source=price&amp;utm_medium=xlsx","открыть")</f>
        <v>открыть</v>
      </c>
    </row>
    <row r="363">
      <c r="A363" t="inlineStr">
        <is>
          <t xml:space="preserve">Женский</t>
        </is>
      </c>
      <c r="B363" t="inlineStr">
        <is>
          <t xml:space="preserve">Резиновые сапоги</t>
        </is>
      </c>
      <c r="C363" t="inlineStr">
        <is>
          <t xml:space="preserve">Полусапожки резиновые непромокаемые, черный</t>
        </is>
      </c>
      <c r="D363" t="inlineStr">
        <is>
          <t xml:space="preserve">815черный</t>
        </is>
      </c>
      <c r="E363" t="inlineStr">
        <is>
          <t xml:space="preserve">черный</t>
        </is>
      </c>
      <c r="F363" t="inlineStr">
        <is>
          <t xml:space="preserve">34</t>
        </is>
      </c>
      <c r="G363">
        <v>6</v>
      </c>
      <c r="H363" s="2">
        <v>46.0</v>
      </c>
      <c r="I363" t="inlineStr">
        <is>
          <t xml:space="preserve">100% ПВХ</t>
        </is>
      </c>
      <c r="J363" t="inlineStr">
        <is>
          <t xml:space="preserve">демисезон</t>
        </is>
      </c>
      <c r="K363" t="inlineStr">
        <is>
          <t xml:space="preserve">Китай</t>
        </is>
      </c>
      <c r="L363" t="inlineStr">
        <is>
          <t xml:space="preserve">6401929000</t>
        </is>
      </c>
      <c r="M363" t="inlineStr">
        <is>
          <t xml:space="preserve">Декларация № ЕАЭС KG417/533.Д.0004548, до 27.03.2029</t>
        </is>
      </c>
      <c r="N363" t="inlineStr">
        <is>
          <t xml:space="preserve">33 × 24 × 15</t>
        </is>
      </c>
      <c r="O363" t="inlineStr">
        <is>
          <t xml:space="preserve">0,74</t>
        </is>
      </c>
      <c r="P363" t="inlineStr">
        <is>
          <t xml:space="preserve">4816148151100</t>
        </is>
      </c>
      <c r="Q363" s="3" t="str">
        <f>HYPERLINK("https://modify.by/img/302253601/1.webp","фото")</f>
        <v>фото</v>
      </c>
      <c r="R363" s="3" t="str">
        <f>HYPERLINK("https://modify.by/catalog/rezinovye-sapogi/302253601/?utm_source=price&amp;utm_medium=xlsx","открыть")</f>
        <v>открыть</v>
      </c>
    </row>
    <row r="364">
      <c r="A364" t="inlineStr">
        <is>
          <t xml:space="preserve">Женский</t>
        </is>
      </c>
      <c r="B364" t="inlineStr">
        <is>
          <t xml:space="preserve">Резиновые сапоги</t>
        </is>
      </c>
      <c r="C364" t="inlineStr">
        <is>
          <t xml:space="preserve">Полусапожки резиновые непромокаемые, черный</t>
        </is>
      </c>
      <c r="D364" t="inlineStr">
        <is>
          <t xml:space="preserve">815черный</t>
        </is>
      </c>
      <c r="E364" t="inlineStr">
        <is>
          <t xml:space="preserve">черный</t>
        </is>
      </c>
      <c r="F364" t="inlineStr">
        <is>
          <t xml:space="preserve">36</t>
        </is>
      </c>
      <c r="G364">
        <v>16</v>
      </c>
      <c r="H364" s="2">
        <v>46.0</v>
      </c>
      <c r="I364" t="inlineStr">
        <is>
          <t xml:space="preserve">100% ПВХ</t>
        </is>
      </c>
      <c r="J364" t="inlineStr">
        <is>
          <t xml:space="preserve">демисезон</t>
        </is>
      </c>
      <c r="K364" t="inlineStr">
        <is>
          <t xml:space="preserve">Китай</t>
        </is>
      </c>
      <c r="L364" t="inlineStr">
        <is>
          <t xml:space="preserve">6401929000</t>
        </is>
      </c>
      <c r="M364" t="inlineStr">
        <is>
          <t xml:space="preserve">Декларация № ЕАЭС KG417/533.Д.0004548, до 27.03.2029</t>
        </is>
      </c>
      <c r="N364" t="inlineStr">
        <is>
          <t xml:space="preserve">33 × 24 × 15</t>
        </is>
      </c>
      <c r="O364" t="inlineStr">
        <is>
          <t xml:space="preserve">0,74</t>
        </is>
      </c>
      <c r="P364" t="inlineStr">
        <is>
          <t xml:space="preserve">4816148151124</t>
        </is>
      </c>
      <c r="Q364" s="3" t="str">
        <f>HYPERLINK("https://modify.by/img/302253601/1.webp","фото")</f>
        <v>фото</v>
      </c>
      <c r="R364" s="3" t="str">
        <f>HYPERLINK("https://modify.by/catalog/rezinovye-sapogi/302253601/?utm_source=price&amp;utm_medium=xlsx","открыть")</f>
        <v>открыть</v>
      </c>
    </row>
    <row r="365">
      <c r="A365" t="inlineStr">
        <is>
          <t xml:space="preserve">Женский</t>
        </is>
      </c>
      <c r="B365" t="inlineStr">
        <is>
          <t xml:space="preserve">Резиновые сапоги</t>
        </is>
      </c>
      <c r="C365" t="inlineStr">
        <is>
          <t xml:space="preserve">Полусапожки резиновые непромокаемые, черный</t>
        </is>
      </c>
      <c r="D365" t="inlineStr">
        <is>
          <t xml:space="preserve">815черный</t>
        </is>
      </c>
      <c r="E365" t="inlineStr">
        <is>
          <t xml:space="preserve">черный</t>
        </is>
      </c>
      <c r="F365" t="inlineStr">
        <is>
          <t xml:space="preserve">37</t>
        </is>
      </c>
      <c r="G365">
        <v>15</v>
      </c>
      <c r="H365" s="2">
        <v>46.0</v>
      </c>
      <c r="I365" t="inlineStr">
        <is>
          <t xml:space="preserve">100% ПВХ</t>
        </is>
      </c>
      <c r="J365" t="inlineStr">
        <is>
          <t xml:space="preserve">демисезон</t>
        </is>
      </c>
      <c r="K365" t="inlineStr">
        <is>
          <t xml:space="preserve">Китай</t>
        </is>
      </c>
      <c r="L365" t="inlineStr">
        <is>
          <t xml:space="preserve">6401929000</t>
        </is>
      </c>
      <c r="M365" t="inlineStr">
        <is>
          <t xml:space="preserve">Декларация № ЕАЭС KG417/533.Д.0004548, до 27.03.2029</t>
        </is>
      </c>
      <c r="N365" t="inlineStr">
        <is>
          <t xml:space="preserve">33 × 24 × 15</t>
        </is>
      </c>
      <c r="O365" t="inlineStr">
        <is>
          <t xml:space="preserve">0,74</t>
        </is>
      </c>
      <c r="P365" t="inlineStr">
        <is>
          <t xml:space="preserve">4816148151131</t>
        </is>
      </c>
      <c r="Q365" s="3" t="str">
        <f>HYPERLINK("https://modify.by/img/302253601/1.webp","фото")</f>
        <v>фото</v>
      </c>
      <c r="R365" s="3" t="str">
        <f>HYPERLINK("https://modify.by/catalog/rezinovye-sapogi/302253601/?utm_source=price&amp;utm_medium=xlsx","открыть")</f>
        <v>открыть</v>
      </c>
    </row>
    <row r="366">
      <c r="A366" t="inlineStr">
        <is>
          <t xml:space="preserve">Женский</t>
        </is>
      </c>
      <c r="B366" t="inlineStr">
        <is>
          <t xml:space="preserve">Резиновые сапоги</t>
        </is>
      </c>
      <c r="C366" t="inlineStr">
        <is>
          <t xml:space="preserve">Полусапожки резиновые непромокаемые, черный</t>
        </is>
      </c>
      <c r="D366" t="inlineStr">
        <is>
          <t xml:space="preserve">815черный</t>
        </is>
      </c>
      <c r="E366" t="inlineStr">
        <is>
          <t xml:space="preserve">черный</t>
        </is>
      </c>
      <c r="F366" t="inlineStr">
        <is>
          <t xml:space="preserve">39</t>
        </is>
      </c>
      <c r="G366">
        <v>18</v>
      </c>
      <c r="H366" s="2">
        <v>46.0</v>
      </c>
      <c r="I366" t="inlineStr">
        <is>
          <t xml:space="preserve">100% ПВХ</t>
        </is>
      </c>
      <c r="J366" t="inlineStr">
        <is>
          <t xml:space="preserve">демисезон</t>
        </is>
      </c>
      <c r="K366" t="inlineStr">
        <is>
          <t xml:space="preserve">Китай</t>
        </is>
      </c>
      <c r="L366" t="inlineStr">
        <is>
          <t xml:space="preserve">6401929000</t>
        </is>
      </c>
      <c r="M366" t="inlineStr">
        <is>
          <t xml:space="preserve">Декларация № ЕАЭС KG417/533.Д.0004548, до 27.03.2029</t>
        </is>
      </c>
      <c r="N366" t="inlineStr">
        <is>
          <t xml:space="preserve">33 × 24 × 15</t>
        </is>
      </c>
      <c r="O366" t="inlineStr">
        <is>
          <t xml:space="preserve">0,74</t>
        </is>
      </c>
      <c r="P366" t="inlineStr">
        <is>
          <t xml:space="preserve">4816148151155</t>
        </is>
      </c>
      <c r="Q366" s="3" t="str">
        <f>HYPERLINK("https://modify.by/img/302253601/1.webp","фото")</f>
        <v>фото</v>
      </c>
      <c r="R366" s="3" t="str">
        <f>HYPERLINK("https://modify.by/catalog/rezinovye-sapogi/302253601/?utm_source=price&amp;utm_medium=xlsx","открыть")</f>
        <v>открыть</v>
      </c>
    </row>
    <row r="367">
      <c r="A367" t="inlineStr">
        <is>
          <t xml:space="preserve">Женский</t>
        </is>
      </c>
      <c r="B367" t="inlineStr">
        <is>
          <t xml:space="preserve">Резиновые сапоги</t>
        </is>
      </c>
      <c r="C367" t="inlineStr">
        <is>
          <t xml:space="preserve">Сапоги непромокаемые короткие ЭВА, серый</t>
        </is>
      </c>
      <c r="D367" t="inlineStr">
        <is>
          <t xml:space="preserve">814серый39</t>
        </is>
      </c>
      <c r="E367" t="inlineStr">
        <is>
          <t xml:space="preserve">серый</t>
        </is>
      </c>
      <c r="F367" t="inlineStr">
        <is>
          <t xml:space="preserve">36</t>
        </is>
      </c>
      <c r="G367">
        <v>17</v>
      </c>
      <c r="H367" s="2">
        <v>42.0</v>
      </c>
      <c r="I367" t="inlineStr">
        <is>
          <t xml:space="preserve">100% ПВХ</t>
        </is>
      </c>
      <c r="J367" t="inlineStr">
        <is>
          <t xml:space="preserve">демисезон</t>
        </is>
      </c>
      <c r="K367" t="inlineStr">
        <is>
          <t xml:space="preserve">Китай</t>
        </is>
      </c>
      <c r="L367" t="inlineStr">
        <is>
          <t xml:space="preserve">6401929000</t>
        </is>
      </c>
      <c r="M367" t="inlineStr">
        <is>
          <t xml:space="preserve">Декларация № ЕАЭС KG417/533.Д.0004548, до 27.03.2029</t>
        </is>
      </c>
      <c r="N367" t="inlineStr">
        <is>
          <t xml:space="preserve">31 × 22 × 8</t>
        </is>
      </c>
      <c r="O367" t="inlineStr">
        <is>
          <t xml:space="preserve">0,7</t>
        </is>
      </c>
      <c r="P367" t="inlineStr">
        <is>
          <t xml:space="preserve">4816148150851</t>
        </is>
      </c>
      <c r="Q367" s="3" t="str">
        <f>HYPERLINK("https://modify.by/img/227804020/1.webp","фото")</f>
        <v>фото</v>
      </c>
      <c r="R367" s="3" t="str">
        <f>HYPERLINK("https://modify.by/catalog/rezinovye-sapogi/227804020/?utm_source=price&amp;utm_medium=xlsx","открыть")</f>
        <v>открыть</v>
      </c>
    </row>
    <row r="368">
      <c r="A368" t="inlineStr">
        <is>
          <t xml:space="preserve">Женский</t>
        </is>
      </c>
      <c r="B368" t="inlineStr">
        <is>
          <t xml:space="preserve">Резиновые сапоги</t>
        </is>
      </c>
      <c r="C368" t="inlineStr">
        <is>
          <t xml:space="preserve">Сапоги непромокаемые короткие ЭВА, серый</t>
        </is>
      </c>
      <c r="D368" t="inlineStr">
        <is>
          <t xml:space="preserve">814серый39</t>
        </is>
      </c>
      <c r="E368" t="inlineStr">
        <is>
          <t xml:space="preserve">серый</t>
        </is>
      </c>
      <c r="F368" t="inlineStr">
        <is>
          <t xml:space="preserve">38</t>
        </is>
      </c>
      <c r="G368">
        <v>11</v>
      </c>
      <c r="H368" s="2">
        <v>42.0</v>
      </c>
      <c r="I368" t="inlineStr">
        <is>
          <t xml:space="preserve">100% ПВХ</t>
        </is>
      </c>
      <c r="J368" t="inlineStr">
        <is>
          <t xml:space="preserve">демисезон</t>
        </is>
      </c>
      <c r="K368" t="inlineStr">
        <is>
          <t xml:space="preserve">Китай</t>
        </is>
      </c>
      <c r="L368" t="inlineStr">
        <is>
          <t xml:space="preserve">6401929000</t>
        </is>
      </c>
      <c r="M368" t="inlineStr">
        <is>
          <t xml:space="preserve">Декларация № ЕАЭС KG417/533.Д.0004548, до 27.03.2029</t>
        </is>
      </c>
      <c r="N368" t="inlineStr">
        <is>
          <t xml:space="preserve">31 × 22 × 8</t>
        </is>
      </c>
      <c r="O368" t="inlineStr">
        <is>
          <t xml:space="preserve">0,7</t>
        </is>
      </c>
      <c r="P368" t="inlineStr">
        <is>
          <t xml:space="preserve">4816148150875</t>
        </is>
      </c>
      <c r="Q368" s="3" t="str">
        <f>HYPERLINK("https://modify.by/img/227804020/1.webp","фото")</f>
        <v>фото</v>
      </c>
      <c r="R368" s="3" t="str">
        <f>HYPERLINK("https://modify.by/catalog/rezinovye-sapogi/227804020/?utm_source=price&amp;utm_medium=xlsx","открыть")</f>
        <v>открыть</v>
      </c>
    </row>
    <row r="369">
      <c r="A369" t="inlineStr">
        <is>
          <t xml:space="preserve">Женский</t>
        </is>
      </c>
      <c r="B369" t="inlineStr">
        <is>
          <t xml:space="preserve">Резиновые сапоги</t>
        </is>
      </c>
      <c r="C369" t="inlineStr">
        <is>
          <t xml:space="preserve">Сапоги непромокаемые короткие ЭВА, черный, арт. 814черный36</t>
        </is>
      </c>
      <c r="D369" t="inlineStr">
        <is>
          <t xml:space="preserve">814черный36</t>
        </is>
      </c>
      <c r="E369" t="inlineStr">
        <is>
          <t xml:space="preserve">черный</t>
        </is>
      </c>
      <c r="F369" t="inlineStr">
        <is>
          <t xml:space="preserve">35</t>
        </is>
      </c>
      <c r="G369">
        <v>15</v>
      </c>
      <c r="H369" s="2">
        <v>42.0</v>
      </c>
      <c r="I369" t="inlineStr">
        <is>
          <t xml:space="preserve">100% ПВХ</t>
        </is>
      </c>
      <c r="J369" t="inlineStr">
        <is>
          <t xml:space="preserve">демисезон</t>
        </is>
      </c>
      <c r="K369" t="inlineStr">
        <is>
          <t xml:space="preserve">Китай</t>
        </is>
      </c>
      <c r="L369" t="inlineStr">
        <is>
          <t xml:space="preserve">6401929000</t>
        </is>
      </c>
      <c r="M369" t="inlineStr">
        <is>
          <t xml:space="preserve">Декларация № ЕАЭС KG417/533.Д.0004548, до 27.03.2029</t>
        </is>
      </c>
      <c r="N369" t="inlineStr">
        <is>
          <t xml:space="preserve">31 × 22 × 8</t>
        </is>
      </c>
      <c r="O369" t="inlineStr">
        <is>
          <t xml:space="preserve">0,7</t>
        </is>
      </c>
      <c r="P369" t="inlineStr">
        <is>
          <t xml:space="preserve">4816148100221</t>
        </is>
      </c>
      <c r="Q369" s="3" t="str">
        <f>HYPERLINK("https://modify.by/img/227803927/1.webp","фото")</f>
        <v>фото</v>
      </c>
      <c r="R369" s="3" t="str">
        <f>HYPERLINK("https://modify.by/catalog/rezinovye-sapogi/227803927/?utm_source=price&amp;utm_medium=xlsx","открыть")</f>
        <v>открыть</v>
      </c>
    </row>
    <row r="370">
      <c r="A370" t="inlineStr">
        <is>
          <t xml:space="preserve">Женский</t>
        </is>
      </c>
      <c r="B370" t="inlineStr">
        <is>
          <t xml:space="preserve">Резиновые сапоги</t>
        </is>
      </c>
      <c r="C370" t="inlineStr">
        <is>
          <t xml:space="preserve">Сапоги непромокаемые короткие ЭВА, черный, арт. 814черный36</t>
        </is>
      </c>
      <c r="D370" t="inlineStr">
        <is>
          <t xml:space="preserve">814черный36</t>
        </is>
      </c>
      <c r="E370" t="inlineStr">
        <is>
          <t xml:space="preserve">черный</t>
        </is>
      </c>
      <c r="F370" t="inlineStr">
        <is>
          <t xml:space="preserve">36</t>
        </is>
      </c>
      <c r="G370">
        <v>1</v>
      </c>
      <c r="H370" s="2">
        <v>42.0</v>
      </c>
      <c r="I370" t="inlineStr">
        <is>
          <t xml:space="preserve">100% ПВХ</t>
        </is>
      </c>
      <c r="J370" t="inlineStr">
        <is>
          <t xml:space="preserve">демисезон</t>
        </is>
      </c>
      <c r="K370" t="inlineStr">
        <is>
          <t xml:space="preserve">Китай</t>
        </is>
      </c>
      <c r="L370" t="inlineStr">
        <is>
          <t xml:space="preserve">6401929000</t>
        </is>
      </c>
      <c r="M370" t="inlineStr">
        <is>
          <t xml:space="preserve">Декларация № ЕАЭС KG417/533.Д.0004548, до 27.03.2029</t>
        </is>
      </c>
      <c r="N370" t="inlineStr">
        <is>
          <t xml:space="preserve">31 × 22 × 8</t>
        </is>
      </c>
      <c r="O370" t="inlineStr">
        <is>
          <t xml:space="preserve">0,7</t>
        </is>
      </c>
      <c r="P370" t="inlineStr">
        <is>
          <t xml:space="preserve">4816148150899</t>
        </is>
      </c>
      <c r="Q370" s="3" t="str">
        <f>HYPERLINK("https://modify.by/img/227803927/1.webp","фото")</f>
        <v>фото</v>
      </c>
      <c r="R370" s="3" t="str">
        <f>HYPERLINK("https://modify.by/catalog/rezinovye-sapogi/227803927/?utm_source=price&amp;utm_medium=xlsx","открыть")</f>
        <v>открыть</v>
      </c>
    </row>
    <row r="371">
      <c r="A371" t="inlineStr">
        <is>
          <t xml:space="preserve">Женский</t>
        </is>
      </c>
      <c r="B371" t="inlineStr">
        <is>
          <t xml:space="preserve">Резиновые сапоги</t>
        </is>
      </c>
      <c r="C371" t="inlineStr">
        <is>
          <t xml:space="preserve">Сапоги непромокаемые короткие ЭВА, черный, арт. 814черный36</t>
        </is>
      </c>
      <c r="D371" t="inlineStr">
        <is>
          <t xml:space="preserve">814черный36</t>
        </is>
      </c>
      <c r="E371" t="inlineStr">
        <is>
          <t xml:space="preserve">черный</t>
        </is>
      </c>
      <c r="F371" t="inlineStr">
        <is>
          <t xml:space="preserve">37</t>
        </is>
      </c>
      <c r="G371">
        <v>15</v>
      </c>
      <c r="H371" s="2">
        <v>42.0</v>
      </c>
      <c r="I371" t="inlineStr">
        <is>
          <t xml:space="preserve">100% ПВХ</t>
        </is>
      </c>
      <c r="J371" t="inlineStr">
        <is>
          <t xml:space="preserve">демисезон</t>
        </is>
      </c>
      <c r="K371" t="inlineStr">
        <is>
          <t xml:space="preserve">Китай</t>
        </is>
      </c>
      <c r="L371" t="inlineStr">
        <is>
          <t xml:space="preserve">6401929000</t>
        </is>
      </c>
      <c r="M371" t="inlineStr">
        <is>
          <t xml:space="preserve">Декларация № ЕАЭС KG417/533.Д.0004548, до 27.03.2029</t>
        </is>
      </c>
      <c r="N371" t="inlineStr">
        <is>
          <t xml:space="preserve">31 × 22 × 8</t>
        </is>
      </c>
      <c r="O371" t="inlineStr">
        <is>
          <t xml:space="preserve">0,7</t>
        </is>
      </c>
      <c r="P371" t="inlineStr">
        <is>
          <t xml:space="preserve">4816148100269</t>
        </is>
      </c>
      <c r="Q371" s="3" t="str">
        <f>HYPERLINK("https://modify.by/img/227803927/1.webp","фото")</f>
        <v>фото</v>
      </c>
      <c r="R371" s="3" t="str">
        <f>HYPERLINK("https://modify.by/catalog/rezinovye-sapogi/227803927/?utm_source=price&amp;utm_medium=xlsx","открыть")</f>
        <v>открыть</v>
      </c>
    </row>
    <row r="372">
      <c r="A372" t="inlineStr">
        <is>
          <t xml:space="preserve">Женский</t>
        </is>
      </c>
      <c r="B372" t="inlineStr">
        <is>
          <t xml:space="preserve">Резиновые сапоги</t>
        </is>
      </c>
      <c r="C372" t="inlineStr">
        <is>
          <t xml:space="preserve">Сапоги непромокаемые короткие ЭВА, черный, арт. 814черный36</t>
        </is>
      </c>
      <c r="D372" t="inlineStr">
        <is>
          <t xml:space="preserve">814черный36</t>
        </is>
      </c>
      <c r="E372" t="inlineStr">
        <is>
          <t xml:space="preserve">черный</t>
        </is>
      </c>
      <c r="F372" t="inlineStr">
        <is>
          <t xml:space="preserve">37</t>
        </is>
      </c>
      <c r="G372">
        <v>19</v>
      </c>
      <c r="H372" s="2">
        <v>42.0</v>
      </c>
      <c r="I372" t="inlineStr">
        <is>
          <t xml:space="preserve">100% ПВХ</t>
        </is>
      </c>
      <c r="J372" t="inlineStr">
        <is>
          <t xml:space="preserve">демисезон</t>
        </is>
      </c>
      <c r="K372" t="inlineStr">
        <is>
          <t xml:space="preserve">Китай</t>
        </is>
      </c>
      <c r="L372" t="inlineStr">
        <is>
          <t xml:space="preserve">6401929000</t>
        </is>
      </c>
      <c r="M372" t="inlineStr">
        <is>
          <t xml:space="preserve">Декларация № ЕАЭС KG417/533.Д.0004548, до 27.03.2029</t>
        </is>
      </c>
      <c r="N372" t="inlineStr">
        <is>
          <t xml:space="preserve">31 × 22 × 8</t>
        </is>
      </c>
      <c r="O372" t="inlineStr">
        <is>
          <t xml:space="preserve">0,7</t>
        </is>
      </c>
      <c r="P372" t="inlineStr">
        <is>
          <t xml:space="preserve">4816148150905</t>
        </is>
      </c>
      <c r="Q372" s="3" t="str">
        <f>HYPERLINK("https://modify.by/img/227803927/1.webp","фото")</f>
        <v>фото</v>
      </c>
      <c r="R372" s="3" t="str">
        <f>HYPERLINK("https://modify.by/catalog/rezinovye-sapogi/227803927/?utm_source=price&amp;utm_medium=xlsx","открыть")</f>
        <v>открыть</v>
      </c>
    </row>
    <row r="373">
      <c r="A373" t="inlineStr">
        <is>
          <t xml:space="preserve">Женский</t>
        </is>
      </c>
      <c r="B373" t="inlineStr">
        <is>
          <t xml:space="preserve">Резиновые сапоги</t>
        </is>
      </c>
      <c r="C373" t="inlineStr">
        <is>
          <t xml:space="preserve">Сапоги непромокаемые короткие ЭВА, черный, арт. 814черный36</t>
        </is>
      </c>
      <c r="D373" t="inlineStr">
        <is>
          <t xml:space="preserve">814черный36</t>
        </is>
      </c>
      <c r="E373" t="inlineStr">
        <is>
          <t xml:space="preserve">черный</t>
        </is>
      </c>
      <c r="F373" t="inlineStr">
        <is>
          <t xml:space="preserve">39</t>
        </is>
      </c>
      <c r="G373">
        <v>25</v>
      </c>
      <c r="H373" s="2">
        <v>42.0</v>
      </c>
      <c r="I373" t="inlineStr">
        <is>
          <t xml:space="preserve">100% ПВХ</t>
        </is>
      </c>
      <c r="J373" t="inlineStr">
        <is>
          <t xml:space="preserve">демисезон</t>
        </is>
      </c>
      <c r="K373" t="inlineStr">
        <is>
          <t xml:space="preserve">Китай</t>
        </is>
      </c>
      <c r="L373" t="inlineStr">
        <is>
          <t xml:space="preserve">6401929000</t>
        </is>
      </c>
      <c r="M373" t="inlineStr">
        <is>
          <t xml:space="preserve">Декларация № ЕАЭС KG417/533.Д.0004548, до 27.03.2029</t>
        </is>
      </c>
      <c r="N373" t="inlineStr">
        <is>
          <t xml:space="preserve">31 × 22 × 8</t>
        </is>
      </c>
      <c r="O373" t="inlineStr">
        <is>
          <t xml:space="preserve">0,7</t>
        </is>
      </c>
      <c r="P373" t="inlineStr">
        <is>
          <t xml:space="preserve">4816148100207</t>
        </is>
      </c>
      <c r="Q373" s="3" t="str">
        <f>HYPERLINK("https://modify.by/img/227803927/1.webp","фото")</f>
        <v>фото</v>
      </c>
      <c r="R373" s="3" t="str">
        <f>HYPERLINK("https://modify.by/catalog/rezinovye-sapogi/227803927/?utm_source=price&amp;utm_medium=xlsx","открыть")</f>
        <v>открыть</v>
      </c>
    </row>
    <row r="374">
      <c r="A374" t="inlineStr">
        <is>
          <t xml:space="preserve">Женский</t>
        </is>
      </c>
      <c r="B374" t="inlineStr">
        <is>
          <t xml:space="preserve">Резиновые сапоги</t>
        </is>
      </c>
      <c r="C374" t="inlineStr">
        <is>
          <t xml:space="preserve">Сапоги непромокаемые короткие ЭВА, черный, арт. 814черный36</t>
        </is>
      </c>
      <c r="D374" t="inlineStr">
        <is>
          <t xml:space="preserve">814черный36</t>
        </is>
      </c>
      <c r="E374" t="inlineStr">
        <is>
          <t xml:space="preserve">черный</t>
        </is>
      </c>
      <c r="F374" t="inlineStr">
        <is>
          <t xml:space="preserve">40</t>
        </is>
      </c>
      <c r="G374">
        <v>30</v>
      </c>
      <c r="H374" s="2">
        <v>42.0</v>
      </c>
      <c r="I374" t="inlineStr">
        <is>
          <t xml:space="preserve">100% ПВХ</t>
        </is>
      </c>
      <c r="J374" t="inlineStr">
        <is>
          <t xml:space="preserve">демисезон</t>
        </is>
      </c>
      <c r="K374" t="inlineStr">
        <is>
          <t xml:space="preserve">Китай</t>
        </is>
      </c>
      <c r="L374" t="inlineStr">
        <is>
          <t xml:space="preserve">6401929000</t>
        </is>
      </c>
      <c r="M374" t="inlineStr">
        <is>
          <t xml:space="preserve">Декларация № ЕАЭС KG417/533.Д.0004548, до 27.03.2029</t>
        </is>
      </c>
      <c r="N374" t="inlineStr">
        <is>
          <t xml:space="preserve">31 × 22 × 8</t>
        </is>
      </c>
      <c r="O374" t="inlineStr">
        <is>
          <t xml:space="preserve">0,7</t>
        </is>
      </c>
      <c r="P374" t="inlineStr">
        <is>
          <t xml:space="preserve">4816148150912</t>
        </is>
      </c>
      <c r="Q374" s="3" t="str">
        <f>HYPERLINK("https://modify.by/img/227803927/1.webp","фото")</f>
        <v>фото</v>
      </c>
      <c r="R374" s="3" t="str">
        <f>HYPERLINK("https://modify.by/catalog/rezinovye-sapogi/227803927/?utm_source=price&amp;utm_medium=xlsx","открыть")</f>
        <v>открыть</v>
      </c>
    </row>
    <row r="375">
      <c r="A375" t="inlineStr">
        <is>
          <t xml:space="preserve">Женский</t>
        </is>
      </c>
      <c r="B375" t="inlineStr">
        <is>
          <t xml:space="preserve">Резиновые сапоги</t>
        </is>
      </c>
      <c r="C375" t="inlineStr">
        <is>
          <t xml:space="preserve">Сапоги резиновые повседневные</t>
        </is>
      </c>
      <c r="D375" t="inlineStr">
        <is>
          <t xml:space="preserve">1688бежевый35</t>
        </is>
      </c>
      <c r="E375" t="inlineStr">
        <is>
          <t xml:space="preserve">бежевый</t>
        </is>
      </c>
      <c r="F375" t="inlineStr">
        <is>
          <t xml:space="preserve">35</t>
        </is>
      </c>
      <c r="G375">
        <v>3</v>
      </c>
      <c r="H375" s="2">
        <v>53.0</v>
      </c>
      <c r="I375" t="inlineStr">
        <is>
          <t xml:space="preserve">100% ПВХ</t>
        </is>
      </c>
      <c r="J375" t="inlineStr">
        <is>
          <t xml:space="preserve">демисезон</t>
        </is>
      </c>
      <c r="K375" t="inlineStr">
        <is>
          <t xml:space="preserve">Китай</t>
        </is>
      </c>
      <c r="L375" t="inlineStr">
        <is>
          <t xml:space="preserve">6401929000</t>
        </is>
      </c>
      <c r="M375" t="inlineStr">
        <is>
          <t xml:space="preserve">по запросу</t>
        </is>
      </c>
      <c r="N375" t="inlineStr">
        <is>
          <t xml:space="preserve">27 × 32 × 10</t>
        </is>
      </c>
      <c r="O375" t="inlineStr">
        <is>
          <t xml:space="preserve">0,48</t>
        </is>
      </c>
      <c r="P375" t="inlineStr">
        <is>
          <t xml:space="preserve">4816148100108</t>
        </is>
      </c>
      <c r="Q375" s="3" t="str">
        <f>HYPERLINK("https://modify.by/img/227804032/1.webp","фото")</f>
        <v>фото</v>
      </c>
      <c r="R375" s="3" t="str">
        <f>HYPERLINK("https://modify.by/catalog/rezinovye-sapogi/227804032/?utm_source=price&amp;utm_medium=xlsx","открыть")</f>
        <v>открыть</v>
      </c>
    </row>
    <row r="376">
      <c r="A376" t="inlineStr">
        <is>
          <t xml:space="preserve">Женский</t>
        </is>
      </c>
      <c r="B376" t="inlineStr">
        <is>
          <t xml:space="preserve">Резиновые сапоги</t>
        </is>
      </c>
      <c r="C376" t="inlineStr">
        <is>
          <t xml:space="preserve">Сапоги резиновые повседневные</t>
        </is>
      </c>
      <c r="D376" t="inlineStr">
        <is>
          <t xml:space="preserve">1688бежевый35</t>
        </is>
      </c>
      <c r="E376" t="inlineStr">
        <is>
          <t xml:space="preserve">бежевый</t>
        </is>
      </c>
      <c r="F376" t="inlineStr">
        <is>
          <t xml:space="preserve">36</t>
        </is>
      </c>
      <c r="G376">
        <v>12</v>
      </c>
      <c r="H376" s="2">
        <v>53.0</v>
      </c>
      <c r="I376" t="inlineStr">
        <is>
          <t xml:space="preserve">100% ПВХ</t>
        </is>
      </c>
      <c r="J376" t="inlineStr">
        <is>
          <t xml:space="preserve">демисезон</t>
        </is>
      </c>
      <c r="K376" t="inlineStr">
        <is>
          <t xml:space="preserve">Китай</t>
        </is>
      </c>
      <c r="L376" t="inlineStr">
        <is>
          <t xml:space="preserve">6401929000</t>
        </is>
      </c>
      <c r="M376" t="inlineStr">
        <is>
          <t xml:space="preserve">по запросу</t>
        </is>
      </c>
      <c r="N376" t="inlineStr">
        <is>
          <t xml:space="preserve">27 × 32 × 10</t>
        </is>
      </c>
      <c r="O376" t="inlineStr">
        <is>
          <t xml:space="preserve">0,48</t>
        </is>
      </c>
      <c r="P376" t="inlineStr">
        <is>
          <t xml:space="preserve">4816148100078</t>
        </is>
      </c>
      <c r="Q376" s="3" t="str">
        <f>HYPERLINK("https://modify.by/img/227804032/1.webp","фото")</f>
        <v>фото</v>
      </c>
      <c r="R376" s="3" t="str">
        <f>HYPERLINK("https://modify.by/catalog/rezinovye-sapogi/227804032/?utm_source=price&amp;utm_medium=xlsx","открыть")</f>
        <v>открыть</v>
      </c>
    </row>
    <row r="377">
      <c r="A377" t="inlineStr">
        <is>
          <t xml:space="preserve">Женский</t>
        </is>
      </c>
      <c r="B377" t="inlineStr">
        <is>
          <t xml:space="preserve">Резиновые сапоги</t>
        </is>
      </c>
      <c r="C377" t="inlineStr">
        <is>
          <t xml:space="preserve">Сапоги резиновые повседневные</t>
        </is>
      </c>
      <c r="D377" t="inlineStr">
        <is>
          <t xml:space="preserve">1688бежевый35</t>
        </is>
      </c>
      <c r="E377" t="inlineStr">
        <is>
          <t xml:space="preserve">бежевый</t>
        </is>
      </c>
      <c r="F377" t="inlineStr">
        <is>
          <t xml:space="preserve">37</t>
        </is>
      </c>
      <c r="G377">
        <v>19</v>
      </c>
      <c r="H377" s="2">
        <v>53.0</v>
      </c>
      <c r="I377" t="inlineStr">
        <is>
          <t xml:space="preserve">100% ПВХ</t>
        </is>
      </c>
      <c r="J377" t="inlineStr">
        <is>
          <t xml:space="preserve">демисезон</t>
        </is>
      </c>
      <c r="K377" t="inlineStr">
        <is>
          <t xml:space="preserve">Китай</t>
        </is>
      </c>
      <c r="L377" t="inlineStr">
        <is>
          <t xml:space="preserve">6401929000</t>
        </is>
      </c>
      <c r="M377" t="inlineStr">
        <is>
          <t xml:space="preserve">по запросу</t>
        </is>
      </c>
      <c r="N377" t="inlineStr">
        <is>
          <t xml:space="preserve">27 × 32 × 10</t>
        </is>
      </c>
      <c r="O377" t="inlineStr">
        <is>
          <t xml:space="preserve">0,48</t>
        </is>
      </c>
      <c r="P377" t="inlineStr">
        <is>
          <t xml:space="preserve">4816148100092</t>
        </is>
      </c>
      <c r="Q377" s="3" t="str">
        <f>HYPERLINK("https://modify.by/img/227804032/1.webp","фото")</f>
        <v>фото</v>
      </c>
      <c r="R377" s="3" t="str">
        <f>HYPERLINK("https://modify.by/catalog/rezinovye-sapogi/227804032/?utm_source=price&amp;utm_medium=xlsx","открыть")</f>
        <v>открыть</v>
      </c>
    </row>
    <row r="378">
      <c r="A378" t="inlineStr">
        <is>
          <t xml:space="preserve">Женский</t>
        </is>
      </c>
      <c r="B378" t="inlineStr">
        <is>
          <t xml:space="preserve">Резиновые сапоги</t>
        </is>
      </c>
      <c r="C378" t="inlineStr">
        <is>
          <t xml:space="preserve">Стильные высокие резиновые сапоги для дачи, леса и города</t>
        </is>
      </c>
      <c r="D378" t="inlineStr">
        <is>
          <t xml:space="preserve">S480черный34</t>
        </is>
      </c>
      <c r="E378" t="inlineStr">
        <is>
          <t xml:space="preserve">черный</t>
        </is>
      </c>
      <c r="F378" t="inlineStr">
        <is>
          <t xml:space="preserve">36</t>
        </is>
      </c>
      <c r="G378">
        <v>1</v>
      </c>
      <c r="H378" s="2">
        <v>59.0</v>
      </c>
      <c r="I378" t="inlineStr">
        <is>
          <t xml:space="preserve">ПВХ 100%</t>
        </is>
      </c>
      <c r="J378" t="inlineStr">
        <is>
          <t xml:space="preserve">демисезон</t>
        </is>
      </c>
      <c r="K378" t="inlineStr">
        <is>
          <t xml:space="preserve">Китай</t>
        </is>
      </c>
      <c r="L378" t="inlineStr">
        <is>
          <t xml:space="preserve">6401929000</t>
        </is>
      </c>
      <c r="M378" t="inlineStr">
        <is>
          <t xml:space="preserve">Декларация № ЕАЭС KG417/533.Д.0004548, до 27.03.2029</t>
        </is>
      </c>
      <c r="N378" t="inlineStr">
        <is>
          <t xml:space="preserve">42 × 31 × 14</t>
        </is>
      </c>
      <c r="O378" t="inlineStr">
        <is>
          <t xml:space="preserve">1,3</t>
        </is>
      </c>
      <c r="P378" t="inlineStr">
        <is>
          <t xml:space="preserve">4816148151322</t>
        </is>
      </c>
      <c r="Q378" s="3" t="str">
        <f>HYPERLINK("https://modify.by/img/227803975/1.webp","фото")</f>
        <v>фото</v>
      </c>
      <c r="R378" s="3" t="str">
        <f>HYPERLINK("https://modify.by/catalog/rezinovye-sapogi/227803975/?utm_source=price&amp;utm_medium=xlsx","открыть")</f>
        <v>открыть</v>
      </c>
    </row>
    <row r="379">
      <c r="A379" t="inlineStr">
        <is>
          <t xml:space="preserve">Женский</t>
        </is>
      </c>
      <c r="B379" t="inlineStr">
        <is>
          <t xml:space="preserve">Резиновые сапоги</t>
        </is>
      </c>
      <c r="C379" t="inlineStr">
        <is>
          <t xml:space="preserve">Стильные резиновые высокие сапоги для леса, дачи и города</t>
        </is>
      </c>
      <c r="D379" t="inlineStr">
        <is>
          <t xml:space="preserve">S480красный</t>
        </is>
      </c>
      <c r="E379" t="inlineStr">
        <is>
          <t xml:space="preserve">красный</t>
        </is>
      </c>
      <c r="F379" t="inlineStr">
        <is>
          <t xml:space="preserve">35</t>
        </is>
      </c>
      <c r="G379">
        <v>1</v>
      </c>
      <c r="H379" s="2">
        <v>59.0</v>
      </c>
      <c r="I379" t="inlineStr">
        <is>
          <t xml:space="preserve">ПВХ 100%</t>
        </is>
      </c>
      <c r="J379" t="inlineStr">
        <is>
          <t xml:space="preserve">демисезон</t>
        </is>
      </c>
      <c r="K379" t="inlineStr">
        <is>
          <t xml:space="preserve">Китай</t>
        </is>
      </c>
      <c r="L379" t="inlineStr">
        <is>
          <t xml:space="preserve">6401929000</t>
        </is>
      </c>
      <c r="M379" t="inlineStr">
        <is>
          <t xml:space="preserve">Декларация № ЕАЭС KG417/533.Д.0004548, до 27.03.2029</t>
        </is>
      </c>
      <c r="N379" t="inlineStr">
        <is>
          <t xml:space="preserve">42 × 31 × 14</t>
        </is>
      </c>
      <c r="O379" t="inlineStr">
        <is>
          <t xml:space="preserve">1,3</t>
        </is>
      </c>
      <c r="P379" t="inlineStr">
        <is>
          <t xml:space="preserve">4816148151254</t>
        </is>
      </c>
      <c r="Q379" s="3" t="str">
        <f>HYPERLINK("https://modify.by/img/276138032/1.webp","фото")</f>
        <v>фото</v>
      </c>
      <c r="R379" s="3" t="str">
        <f>HYPERLINK("https://modify.by/catalog/rezinovye-sapogi/276138032/?utm_source=price&amp;utm_medium=xlsx","открыть")</f>
        <v>открыть</v>
      </c>
    </row>
    <row r="380">
      <c r="A380" t="inlineStr">
        <is>
          <t xml:space="preserve">Женский</t>
        </is>
      </c>
      <c r="B380" t="inlineStr">
        <is>
          <t xml:space="preserve">Резиновые сапоги</t>
        </is>
      </c>
      <c r="C380" t="inlineStr">
        <is>
          <t xml:space="preserve">Стильные резиновые высокие сапоги на платформе</t>
        </is>
      </c>
      <c r="D380" t="inlineStr">
        <is>
          <t xml:space="preserve">S480коричневый35</t>
        </is>
      </c>
      <c r="E380" t="inlineStr">
        <is>
          <t xml:space="preserve">коричневый</t>
        </is>
      </c>
      <c r="F380" t="inlineStr">
        <is>
          <t xml:space="preserve">35</t>
        </is>
      </c>
      <c r="G380">
        <v>2</v>
      </c>
      <c r="H380" s="2">
        <v>59.0</v>
      </c>
      <c r="I380" t="inlineStr">
        <is>
          <t xml:space="preserve">ПВХ 100%</t>
        </is>
      </c>
      <c r="J380" t="inlineStr">
        <is>
          <t xml:space="preserve">демисезон</t>
        </is>
      </c>
      <c r="K380" t="inlineStr">
        <is>
          <t xml:space="preserve">Китай</t>
        </is>
      </c>
      <c r="L380" t="inlineStr">
        <is>
          <t xml:space="preserve">6401929000</t>
        </is>
      </c>
      <c r="M380" t="inlineStr">
        <is>
          <t xml:space="preserve">Декларация № ЕАЭС KG417/533.Д.0004548, до 27.03.2029</t>
        </is>
      </c>
      <c r="N380" t="inlineStr">
        <is>
          <t xml:space="preserve">42 × 31 × 14</t>
        </is>
      </c>
      <c r="O380" t="inlineStr">
        <is>
          <t xml:space="preserve">1,3</t>
        </is>
      </c>
      <c r="P380" t="inlineStr">
        <is>
          <t xml:space="preserve">4816148151209</t>
        </is>
      </c>
      <c r="Q380" s="3" t="str">
        <f>HYPERLINK("https://modify.by/img/227804018/1.webp","фото")</f>
        <v>фото</v>
      </c>
      <c r="R380" s="3" t="str">
        <f>HYPERLINK("https://modify.by/catalog/rezinovye-sapogi/227804018/?utm_source=price&amp;utm_medium=xlsx","открыть")</f>
        <v>открыть</v>
      </c>
    </row>
    <row r="381">
      <c r="A381" t="inlineStr">
        <is>
          <t xml:space="preserve">Женский</t>
        </is>
      </c>
      <c r="B381" t="inlineStr">
        <is>
          <t xml:space="preserve">Резиновые сапоги</t>
        </is>
      </c>
      <c r="C381" t="inlineStr">
        <is>
          <t xml:space="preserve">Стильные резиновые высокие сапоги на платформе</t>
        </is>
      </c>
      <c r="D381" t="inlineStr">
        <is>
          <t xml:space="preserve">S480коричневый35</t>
        </is>
      </c>
      <c r="E381" t="inlineStr">
        <is>
          <t xml:space="preserve">коричневый</t>
        </is>
      </c>
      <c r="F381" t="inlineStr">
        <is>
          <t xml:space="preserve">37</t>
        </is>
      </c>
      <c r="G381">
        <v>1</v>
      </c>
      <c r="H381" s="2">
        <v>59.0</v>
      </c>
      <c r="I381" t="inlineStr">
        <is>
          <t xml:space="preserve">ПВХ 100%</t>
        </is>
      </c>
      <c r="J381" t="inlineStr">
        <is>
          <t xml:space="preserve">демисезон</t>
        </is>
      </c>
      <c r="K381" t="inlineStr">
        <is>
          <t xml:space="preserve">Китай</t>
        </is>
      </c>
      <c r="L381" t="inlineStr">
        <is>
          <t xml:space="preserve">6401929000</t>
        </is>
      </c>
      <c r="M381" t="inlineStr">
        <is>
          <t xml:space="preserve">Декларация № ЕАЭС KG417/533.Д.0004548, до 27.03.2029</t>
        </is>
      </c>
      <c r="N381" t="inlineStr">
        <is>
          <t xml:space="preserve">42 × 31 × 14</t>
        </is>
      </c>
      <c r="O381" t="inlineStr">
        <is>
          <t xml:space="preserve">1,3</t>
        </is>
      </c>
      <c r="P381" t="inlineStr">
        <is>
          <t xml:space="preserve">4816148100306</t>
        </is>
      </c>
      <c r="Q381" s="3" t="str">
        <f>HYPERLINK("https://modify.by/img/227804018/1.webp","фото")</f>
        <v>фото</v>
      </c>
      <c r="R381" s="3" t="str">
        <f>HYPERLINK("https://modify.by/catalog/rezinovye-sapogi/227804018/?utm_source=price&amp;utm_medium=xlsx","открыть")</f>
        <v>открыть</v>
      </c>
    </row>
    <row r="382">
      <c r="A382" t="inlineStr">
        <is>
          <t xml:space="preserve">Женский</t>
        </is>
      </c>
      <c r="B382" t="inlineStr">
        <is>
          <t xml:space="preserve">Рубашки</t>
        </is>
      </c>
      <c r="C382" t="inlineStr">
        <is>
          <t xml:space="preserve">Джинсовая рубашка и в пир и в мир, голубой</t>
        </is>
      </c>
      <c r="D382" t="inlineStr">
        <is>
          <t xml:space="preserve">SH32W02Голубой</t>
        </is>
      </c>
      <c r="E382" t="inlineStr">
        <is>
          <t xml:space="preserve">голубой</t>
        </is>
      </c>
      <c r="F382" t="inlineStr">
        <is>
          <t xml:space="preserve">48</t>
        </is>
      </c>
      <c r="G382">
        <v>1</v>
      </c>
      <c r="H382" s="2">
        <v>32.0</v>
      </c>
      <c r="I382" t="inlineStr">
        <is>
          <t xml:space="preserve">хлопок 100%</t>
        </is>
      </c>
      <c r="J382"/>
      <c r="K382" t="inlineStr">
        <is>
          <t xml:space="preserve">Бангладеш</t>
        </is>
      </c>
      <c r="L382" t="inlineStr">
        <is>
          <t xml:space="preserve">6206300000</t>
        </is>
      </c>
      <c r="M382" t="inlineStr">
        <is>
          <t xml:space="preserve">Декларация № ЕАЭС № BY/112 11.01. ТР017 122.01 08246, до 19.04.2028</t>
        </is>
      </c>
      <c r="N382"/>
      <c r="O382"/>
      <c r="P382" t="inlineStr">
        <is>
          <t xml:space="preserve">2026620752448</t>
        </is>
      </c>
      <c r="Q382" s="3" t="str">
        <f>HYPERLINK("https://modify.by/img/170412979/1.webp","фото")</f>
        <v>фото</v>
      </c>
      <c r="R382" s="3" t="str">
        <f>HYPERLINK("https://modify.by/catalog/rubashki/170412979/?utm_source=price&amp;utm_medium=xlsx","открыть")</f>
        <v>открыть</v>
      </c>
    </row>
    <row r="383">
      <c r="A383" t="inlineStr">
        <is>
          <t xml:space="preserve">Женский</t>
        </is>
      </c>
      <c r="B383" t="inlineStr">
        <is>
          <t xml:space="preserve">Рубашки</t>
        </is>
      </c>
      <c r="C383" t="inlineStr">
        <is>
          <t xml:space="preserve">Джинсовая рубашка и в пир и в мир, синий</t>
        </is>
      </c>
      <c r="D383" t="inlineStr">
        <is>
          <t xml:space="preserve">SH32W02Синий</t>
        </is>
      </c>
      <c r="E383" t="inlineStr">
        <is>
          <t xml:space="preserve">синий</t>
        </is>
      </c>
      <c r="F383" t="inlineStr">
        <is>
          <t xml:space="preserve">42</t>
        </is>
      </c>
      <c r="G383">
        <v>1</v>
      </c>
      <c r="H383" s="2">
        <v>32.0</v>
      </c>
      <c r="I383" t="inlineStr">
        <is>
          <t xml:space="preserve">хлопок 100%</t>
        </is>
      </c>
      <c r="J383"/>
      <c r="K383" t="inlineStr">
        <is>
          <t xml:space="preserve">Бангладеш</t>
        </is>
      </c>
      <c r="L383" t="inlineStr">
        <is>
          <t xml:space="preserve">6206300000</t>
        </is>
      </c>
      <c r="M383" t="inlineStr">
        <is>
          <t xml:space="preserve">Декларация № ЕАЭС № BY/112 11.01. ТР017 122.01 08246, до 19.04.2028</t>
        </is>
      </c>
      <c r="N383"/>
      <c r="O383"/>
      <c r="P383" t="inlineStr">
        <is>
          <t xml:space="preserve">2026620752417</t>
        </is>
      </c>
      <c r="Q383" s="3" t="str">
        <f>HYPERLINK("https://modify.by/img/170412981/1.webp","фото")</f>
        <v>фото</v>
      </c>
      <c r="R383" s="3" t="str">
        <f>HYPERLINK("https://modify.by/catalog/rubashki/170412981/?utm_source=price&amp;utm_medium=xlsx","открыть")</f>
        <v>открыть</v>
      </c>
    </row>
    <row r="384">
      <c r="A384" t="inlineStr">
        <is>
          <t xml:space="preserve">Женский</t>
        </is>
      </c>
      <c r="B384" t="inlineStr">
        <is>
          <t xml:space="preserve">Рубашки</t>
        </is>
      </c>
      <c r="C384" t="inlineStr">
        <is>
          <t xml:space="preserve">Рубашка джинс деним хлопок оверсайз</t>
        </is>
      </c>
      <c r="D384" t="inlineStr">
        <is>
          <t xml:space="preserve">SH52W01Синий</t>
        </is>
      </c>
      <c r="E384" t="inlineStr">
        <is>
          <t xml:space="preserve">синий</t>
        </is>
      </c>
      <c r="F384" t="inlineStr">
        <is>
          <t xml:space="preserve">40</t>
        </is>
      </c>
      <c r="G384">
        <v>3</v>
      </c>
      <c r="H384" s="2">
        <v>35.0</v>
      </c>
      <c r="I384" t="inlineStr">
        <is>
          <t xml:space="preserve">Рубашка женская деним 100% хлопок</t>
        </is>
      </c>
      <c r="J384"/>
      <c r="K384" t="inlineStr">
        <is>
          <t xml:space="preserve">Бангладеш</t>
        </is>
      </c>
      <c r="L384" t="inlineStr">
        <is>
          <t xml:space="preserve">6206300000</t>
        </is>
      </c>
      <c r="M384" t="inlineStr">
        <is>
          <t xml:space="preserve">Декларация № ЕАЭС № BY/112 11.01. ТР017 122.01 08246, до 19.04.2028</t>
        </is>
      </c>
      <c r="N384" t="inlineStr">
        <is>
          <t xml:space="preserve">38 × 27 × 2</t>
        </is>
      </c>
      <c r="O384" t="inlineStr">
        <is>
          <t xml:space="preserve">0,25</t>
        </is>
      </c>
      <c r="P384" t="inlineStr">
        <is>
          <t xml:space="preserve">4816148157454</t>
        </is>
      </c>
      <c r="Q384" s="3" t="str">
        <f>HYPERLINK("https://modify.by/img/348649948/1.webp","фото")</f>
        <v>фото</v>
      </c>
      <c r="R384" s="3" t="str">
        <f>HYPERLINK("https://modify.by/catalog/rubashki/348649948/?utm_source=price&amp;utm_medium=xlsx","открыть")</f>
        <v>открыть</v>
      </c>
    </row>
    <row r="385">
      <c r="A385" t="inlineStr">
        <is>
          <t xml:space="preserve">Женский</t>
        </is>
      </c>
      <c r="B385" t="inlineStr">
        <is>
          <t xml:space="preserve">Рубашки</t>
        </is>
      </c>
      <c r="C385" t="inlineStr">
        <is>
          <t xml:space="preserve">Рубашка джинсовая легкая</t>
        </is>
      </c>
      <c r="D385" t="inlineStr">
        <is>
          <t xml:space="preserve">SH42W01черный</t>
        </is>
      </c>
      <c r="E385" t="inlineStr">
        <is>
          <t xml:space="preserve">черный</t>
        </is>
      </c>
      <c r="F385" t="inlineStr">
        <is>
          <t xml:space="preserve">46</t>
        </is>
      </c>
      <c r="G385">
        <v>8</v>
      </c>
      <c r="H385" s="2">
        <v>39.0</v>
      </c>
      <c r="I385" t="inlineStr">
        <is>
          <t xml:space="preserve">хлопок 100%</t>
        </is>
      </c>
      <c r="J385"/>
      <c r="K385" t="inlineStr">
        <is>
          <t xml:space="preserve">Бангладеш</t>
        </is>
      </c>
      <c r="L385" t="inlineStr">
        <is>
          <t xml:space="preserve">6206300000</t>
        </is>
      </c>
      <c r="M385" t="inlineStr">
        <is>
          <t xml:space="preserve">Декларация № ЕАЭС № BY/112 11.01. ТР017 122.01 08246, до 19.04.2028</t>
        </is>
      </c>
      <c r="N385" t="inlineStr">
        <is>
          <t xml:space="preserve">30 × 35 × 4</t>
        </is>
      </c>
      <c r="O385" t="inlineStr">
        <is>
          <t xml:space="preserve">0,25</t>
        </is>
      </c>
      <c r="P385" t="inlineStr">
        <is>
          <t xml:space="preserve">4816148101570</t>
        </is>
      </c>
      <c r="Q385" s="3" t="str">
        <f>HYPERLINK("https://modify.by/img/234682481/1.webp","фото")</f>
        <v>фото</v>
      </c>
      <c r="R385" s="3" t="str">
        <f>HYPERLINK("https://modify.by/catalog/rubashki/234682481/?utm_source=price&amp;utm_medium=xlsx","открыть")</f>
        <v>открыть</v>
      </c>
    </row>
    <row r="386">
      <c r="A386" t="inlineStr">
        <is>
          <t xml:space="preserve">Женский</t>
        </is>
      </c>
      <c r="B386" t="inlineStr">
        <is>
          <t xml:space="preserve">Рубашки</t>
        </is>
      </c>
      <c r="C386" t="inlineStr">
        <is>
          <t xml:space="preserve">Рубашка клетчатая фланелевая оверсайз</t>
        </is>
      </c>
      <c r="D386" t="inlineStr">
        <is>
          <t xml:space="preserve">SH42W03черный,красный,белый</t>
        </is>
      </c>
      <c r="E386" t="inlineStr">
        <is>
          <t xml:space="preserve">черный, красный, белый</t>
        </is>
      </c>
      <c r="F386" t="inlineStr">
        <is>
          <t xml:space="preserve">54</t>
        </is>
      </c>
      <c r="G386">
        <v>20</v>
      </c>
      <c r="H386" s="2">
        <v>29.0</v>
      </c>
      <c r="I386" t="inlineStr">
        <is>
          <t xml:space="preserve">хлопок 65% полиэстер 35%</t>
        </is>
      </c>
      <c r="J386"/>
      <c r="K386" t="inlineStr">
        <is>
          <t xml:space="preserve">Бангладеш</t>
        </is>
      </c>
      <c r="L386" t="inlineStr">
        <is>
          <t xml:space="preserve">6206300000</t>
        </is>
      </c>
      <c r="M386" t="inlineStr">
        <is>
          <t xml:space="preserve">Декларация № ЕАЭС № BY/112 11.01. ТР017 122.01 08246, до 19.04.2028</t>
        </is>
      </c>
      <c r="N386" t="inlineStr">
        <is>
          <t xml:space="preserve">37 × 27 × 2</t>
        </is>
      </c>
      <c r="O386" t="inlineStr">
        <is>
          <t xml:space="preserve">0,42</t>
        </is>
      </c>
      <c r="P386" t="inlineStr">
        <is>
          <t xml:space="preserve">4816148103710</t>
        </is>
      </c>
      <c r="Q386" s="3" t="str">
        <f>HYPERLINK("https://modify.by/img/234703414/1.webp","фото")</f>
        <v>фото</v>
      </c>
      <c r="R386" s="3" t="str">
        <f>HYPERLINK("https://modify.by/catalog/rubashki/234703414/?utm_source=price&amp;utm_medium=xlsx","открыть")</f>
        <v>открыть</v>
      </c>
    </row>
    <row r="387">
      <c r="A387" t="inlineStr">
        <is>
          <t xml:space="preserve">Женский</t>
        </is>
      </c>
      <c r="B387" t="inlineStr">
        <is>
          <t xml:space="preserve">Рубашки</t>
        </is>
      </c>
      <c r="C387" t="inlineStr">
        <is>
          <t xml:space="preserve">Рубашка клетчатая фланелевая оверсайз</t>
        </is>
      </c>
      <c r="D387" t="inlineStr">
        <is>
          <t xml:space="preserve">SH42W03черный,красный,белый</t>
        </is>
      </c>
      <c r="E387" t="inlineStr">
        <is>
          <t xml:space="preserve">черный, красный, белый</t>
        </is>
      </c>
      <c r="F387" t="inlineStr">
        <is>
          <t xml:space="preserve">56</t>
        </is>
      </c>
      <c r="G387">
        <v>34</v>
      </c>
      <c r="H387" s="2">
        <v>29.0</v>
      </c>
      <c r="I387" t="inlineStr">
        <is>
          <t xml:space="preserve">хлопок 65% полиэстер 35%</t>
        </is>
      </c>
      <c r="J387"/>
      <c r="K387" t="inlineStr">
        <is>
          <t xml:space="preserve">Бангладеш</t>
        </is>
      </c>
      <c r="L387" t="inlineStr">
        <is>
          <t xml:space="preserve">6206300000</t>
        </is>
      </c>
      <c r="M387" t="inlineStr">
        <is>
          <t xml:space="preserve">Декларация № ЕАЭС № BY/112 11.01. ТР017 122.01 08246, до 19.04.2028</t>
        </is>
      </c>
      <c r="N387" t="inlineStr">
        <is>
          <t xml:space="preserve">37 × 27 × 2</t>
        </is>
      </c>
      <c r="O387" t="inlineStr">
        <is>
          <t xml:space="preserve">0,42</t>
        </is>
      </c>
      <c r="P387" t="inlineStr">
        <is>
          <t xml:space="preserve">4816148103727</t>
        </is>
      </c>
      <c r="Q387" s="3" t="str">
        <f>HYPERLINK("https://modify.by/img/234703414/1.webp","фото")</f>
        <v>фото</v>
      </c>
      <c r="R387" s="3" t="str">
        <f>HYPERLINK("https://modify.by/catalog/rubashki/234703414/?utm_source=price&amp;utm_medium=xlsx","открыть")</f>
        <v>открыть</v>
      </c>
    </row>
    <row r="388">
      <c r="A388" t="inlineStr">
        <is>
          <t xml:space="preserve">Женский</t>
        </is>
      </c>
      <c r="B388" t="inlineStr">
        <is>
          <t xml:space="preserve">Рубашки</t>
        </is>
      </c>
      <c r="C388" t="inlineStr">
        <is>
          <t xml:space="preserve">Рубашка летняя длинная</t>
        </is>
      </c>
      <c r="D388" t="inlineStr">
        <is>
          <t xml:space="preserve">SH22W02Пудровый</t>
        </is>
      </c>
      <c r="E388" t="inlineStr">
        <is>
          <t xml:space="preserve">пудровый</t>
        </is>
      </c>
      <c r="F388" t="inlineStr">
        <is>
          <t xml:space="preserve">40</t>
        </is>
      </c>
      <c r="G388">
        <v>4</v>
      </c>
      <c r="H388" s="2">
        <v>30.0</v>
      </c>
      <c r="I388" t="inlineStr">
        <is>
          <t xml:space="preserve">вискоза 100%</t>
        </is>
      </c>
      <c r="J388"/>
      <c r="K388" t="inlineStr">
        <is>
          <t xml:space="preserve">Бангладеш</t>
        </is>
      </c>
      <c r="L388" t="inlineStr">
        <is>
          <t xml:space="preserve">6206400000</t>
        </is>
      </c>
      <c r="M388" t="inlineStr">
        <is>
          <t xml:space="preserve">Декларация № ЕАЭС № BY/112 11.01. ТР017 122.01 08246, до 19.04.2028</t>
        </is>
      </c>
      <c r="N388" t="inlineStr">
        <is>
          <t xml:space="preserve">35 × 30 × 2</t>
        </is>
      </c>
      <c r="O388" t="inlineStr">
        <is>
          <t xml:space="preserve">0,25</t>
        </is>
      </c>
      <c r="P388" t="inlineStr">
        <is>
          <t xml:space="preserve">2016957037196</t>
        </is>
      </c>
      <c r="Q388" s="3" t="str">
        <f>HYPERLINK("https://modify.by/img/93657939/1.webp","фото")</f>
        <v>фото</v>
      </c>
      <c r="R388" s="3" t="str">
        <f>HYPERLINK("https://modify.by/catalog/rubashki/93657939/?utm_source=price&amp;utm_medium=xlsx","открыть")</f>
        <v>открыть</v>
      </c>
    </row>
    <row r="389">
      <c r="A389" t="inlineStr">
        <is>
          <t xml:space="preserve">Женский</t>
        </is>
      </c>
      <c r="B389" t="inlineStr">
        <is>
          <t xml:space="preserve">Рубашки</t>
        </is>
      </c>
      <c r="C389" t="inlineStr">
        <is>
          <t xml:space="preserve">Рубашка летняя длинная</t>
        </is>
      </c>
      <c r="D389" t="inlineStr">
        <is>
          <t xml:space="preserve">SH22W02Пудровый</t>
        </is>
      </c>
      <c r="E389" t="inlineStr">
        <is>
          <t xml:space="preserve">пудровый</t>
        </is>
      </c>
      <c r="F389" t="inlineStr">
        <is>
          <t xml:space="preserve">40</t>
        </is>
      </c>
      <c r="G389">
        <v>4</v>
      </c>
      <c r="H389" s="2">
        <v>30.0</v>
      </c>
      <c r="I389" t="inlineStr">
        <is>
          <t xml:space="preserve">вискоза 100%</t>
        </is>
      </c>
      <c r="J389"/>
      <c r="K389" t="inlineStr">
        <is>
          <t xml:space="preserve">Бангладеш</t>
        </is>
      </c>
      <c r="L389" t="inlineStr">
        <is>
          <t xml:space="preserve">6206400000</t>
        </is>
      </c>
      <c r="M389" t="inlineStr">
        <is>
          <t xml:space="preserve">Декларация № ЕАЭС № BY/112 11.01. ТР017 122.01 08246, до 19.04.2028</t>
        </is>
      </c>
      <c r="N389" t="inlineStr">
        <is>
          <t xml:space="preserve">35 × 30 × 2</t>
        </is>
      </c>
      <c r="O389" t="inlineStr">
        <is>
          <t xml:space="preserve">0,25</t>
        </is>
      </c>
      <c r="P389" t="inlineStr">
        <is>
          <t xml:space="preserve">4816148133021</t>
        </is>
      </c>
      <c r="Q389" s="3" t="str">
        <f>HYPERLINK("https://modify.by/img/93657939/1.webp","фото")</f>
        <v>фото</v>
      </c>
      <c r="R389" s="3" t="str">
        <f>HYPERLINK("https://modify.by/catalog/rubashki/93657939/?utm_source=price&amp;utm_medium=xlsx","открыть")</f>
        <v>открыть</v>
      </c>
    </row>
    <row r="390">
      <c r="A390" t="inlineStr">
        <is>
          <t xml:space="preserve">Женский</t>
        </is>
      </c>
      <c r="B390" t="inlineStr">
        <is>
          <t xml:space="preserve">Рубашки</t>
        </is>
      </c>
      <c r="C390" t="inlineStr">
        <is>
          <t xml:space="preserve">Рубашка летняя длинная</t>
        </is>
      </c>
      <c r="D390" t="inlineStr">
        <is>
          <t xml:space="preserve">SH22W02Пудровый</t>
        </is>
      </c>
      <c r="E390" t="inlineStr">
        <is>
          <t xml:space="preserve">пудровый</t>
        </is>
      </c>
      <c r="F390" t="inlineStr">
        <is>
          <t xml:space="preserve">42</t>
        </is>
      </c>
      <c r="G390">
        <v>2</v>
      </c>
      <c r="H390" s="2">
        <v>30.0</v>
      </c>
      <c r="I390" t="inlineStr">
        <is>
          <t xml:space="preserve">вискоза 100%</t>
        </is>
      </c>
      <c r="J390"/>
      <c r="K390" t="inlineStr">
        <is>
          <t xml:space="preserve">Бангладеш</t>
        </is>
      </c>
      <c r="L390" t="inlineStr">
        <is>
          <t xml:space="preserve">6206400000</t>
        </is>
      </c>
      <c r="M390" t="inlineStr">
        <is>
          <t xml:space="preserve">Декларация № ЕАЭС № BY/112 11.01. ТР017 122.01 08246, до 19.04.2028</t>
        </is>
      </c>
      <c r="N390" t="inlineStr">
        <is>
          <t xml:space="preserve">35 × 30 × 2</t>
        </is>
      </c>
      <c r="O390" t="inlineStr">
        <is>
          <t xml:space="preserve">0,25</t>
        </is>
      </c>
      <c r="P390" t="inlineStr">
        <is>
          <t xml:space="preserve">2016957037189</t>
        </is>
      </c>
      <c r="Q390" s="3" t="str">
        <f>HYPERLINK("https://modify.by/img/93657939/1.webp","фото")</f>
        <v>фото</v>
      </c>
      <c r="R390" s="3" t="str">
        <f>HYPERLINK("https://modify.by/catalog/rubashki/93657939/?utm_source=price&amp;utm_medium=xlsx","открыть")</f>
        <v>открыть</v>
      </c>
    </row>
    <row r="391">
      <c r="A391" t="inlineStr">
        <is>
          <t xml:space="preserve">Женский</t>
        </is>
      </c>
      <c r="B391" t="inlineStr">
        <is>
          <t xml:space="preserve">Рубашки</t>
        </is>
      </c>
      <c r="C391" t="inlineStr">
        <is>
          <t xml:space="preserve">Рубашка летняя длинная</t>
        </is>
      </c>
      <c r="D391" t="inlineStr">
        <is>
          <t xml:space="preserve">SH22W02Пудровый</t>
        </is>
      </c>
      <c r="E391" t="inlineStr">
        <is>
          <t xml:space="preserve">пудровый</t>
        </is>
      </c>
      <c r="F391" t="inlineStr">
        <is>
          <t xml:space="preserve">42</t>
        </is>
      </c>
      <c r="G391">
        <v>2</v>
      </c>
      <c r="H391" s="2">
        <v>30.0</v>
      </c>
      <c r="I391" t="inlineStr">
        <is>
          <t xml:space="preserve">вискоза 100%</t>
        </is>
      </c>
      <c r="J391"/>
      <c r="K391" t="inlineStr">
        <is>
          <t xml:space="preserve">Бангладеш</t>
        </is>
      </c>
      <c r="L391" t="inlineStr">
        <is>
          <t xml:space="preserve">6206400000</t>
        </is>
      </c>
      <c r="M391" t="inlineStr">
        <is>
          <t xml:space="preserve">Декларация № ЕАЭС № BY/112 11.01. ТР017 122.01 08246, до 19.04.2028</t>
        </is>
      </c>
      <c r="N391" t="inlineStr">
        <is>
          <t xml:space="preserve">35 × 30 × 2</t>
        </is>
      </c>
      <c r="O391" t="inlineStr">
        <is>
          <t xml:space="preserve">0,25</t>
        </is>
      </c>
      <c r="P391" t="inlineStr">
        <is>
          <t xml:space="preserve">4816148133038</t>
        </is>
      </c>
      <c r="Q391" s="3" t="str">
        <f>HYPERLINK("https://modify.by/img/93657939/1.webp","фото")</f>
        <v>фото</v>
      </c>
      <c r="R391" s="3" t="str">
        <f>HYPERLINK("https://modify.by/catalog/rubashki/93657939/?utm_source=price&amp;utm_medium=xlsx","открыть")</f>
        <v>открыть</v>
      </c>
    </row>
    <row r="392">
      <c r="A392" t="inlineStr">
        <is>
          <t xml:space="preserve">Женский</t>
        </is>
      </c>
      <c r="B392" t="inlineStr">
        <is>
          <t xml:space="preserve">Рубашки</t>
        </is>
      </c>
      <c r="C392" t="inlineStr">
        <is>
          <t xml:space="preserve">Рубашка летняя длинная</t>
        </is>
      </c>
      <c r="D392" t="inlineStr">
        <is>
          <t xml:space="preserve">SH22W02Пудровый</t>
        </is>
      </c>
      <c r="E392" t="inlineStr">
        <is>
          <t xml:space="preserve">пудровый</t>
        </is>
      </c>
      <c r="F392" t="inlineStr">
        <is>
          <t xml:space="preserve">44</t>
        </is>
      </c>
      <c r="G392">
        <v>4</v>
      </c>
      <c r="H392" s="2">
        <v>30.0</v>
      </c>
      <c r="I392" t="inlineStr">
        <is>
          <t xml:space="preserve">вискоза 100%</t>
        </is>
      </c>
      <c r="J392"/>
      <c r="K392" t="inlineStr">
        <is>
          <t xml:space="preserve">Бангладеш</t>
        </is>
      </c>
      <c r="L392" t="inlineStr">
        <is>
          <t xml:space="preserve">6206400000</t>
        </is>
      </c>
      <c r="M392" t="inlineStr">
        <is>
          <t xml:space="preserve">Декларация № ЕАЭС № BY/112 11.01. ТР017 122.01 08246, до 19.04.2028</t>
        </is>
      </c>
      <c r="N392" t="inlineStr">
        <is>
          <t xml:space="preserve">35 × 30 × 2</t>
        </is>
      </c>
      <c r="O392" t="inlineStr">
        <is>
          <t xml:space="preserve">0,25</t>
        </is>
      </c>
      <c r="P392" t="inlineStr">
        <is>
          <t xml:space="preserve">2016957037172</t>
        </is>
      </c>
      <c r="Q392" s="3" t="str">
        <f>HYPERLINK("https://modify.by/img/93657939/1.webp","фото")</f>
        <v>фото</v>
      </c>
      <c r="R392" s="3" t="str">
        <f>HYPERLINK("https://modify.by/catalog/rubashki/93657939/?utm_source=price&amp;utm_medium=xlsx","открыть")</f>
        <v>открыть</v>
      </c>
    </row>
    <row r="393">
      <c r="A393" t="inlineStr">
        <is>
          <t xml:space="preserve">Женский</t>
        </is>
      </c>
      <c r="B393" t="inlineStr">
        <is>
          <t xml:space="preserve">Рубашки</t>
        </is>
      </c>
      <c r="C393" t="inlineStr">
        <is>
          <t xml:space="preserve">Рубашка летняя длинная</t>
        </is>
      </c>
      <c r="D393" t="inlineStr">
        <is>
          <t xml:space="preserve">SH22W02Пудровый</t>
        </is>
      </c>
      <c r="E393" t="inlineStr">
        <is>
          <t xml:space="preserve">пудровый</t>
        </is>
      </c>
      <c r="F393" t="inlineStr">
        <is>
          <t xml:space="preserve">44</t>
        </is>
      </c>
      <c r="G393">
        <v>4</v>
      </c>
      <c r="H393" s="2">
        <v>30.0</v>
      </c>
      <c r="I393" t="inlineStr">
        <is>
          <t xml:space="preserve">вискоза 100%</t>
        </is>
      </c>
      <c r="J393"/>
      <c r="K393" t="inlineStr">
        <is>
          <t xml:space="preserve">Бангладеш</t>
        </is>
      </c>
      <c r="L393" t="inlineStr">
        <is>
          <t xml:space="preserve">6206400000</t>
        </is>
      </c>
      <c r="M393" t="inlineStr">
        <is>
          <t xml:space="preserve">Декларация № ЕАЭС № BY/112 11.01. ТР017 122.01 08246, до 19.04.2028</t>
        </is>
      </c>
      <c r="N393" t="inlineStr">
        <is>
          <t xml:space="preserve">35 × 30 × 2</t>
        </is>
      </c>
      <c r="O393" t="inlineStr">
        <is>
          <t xml:space="preserve">0,25</t>
        </is>
      </c>
      <c r="P393" t="inlineStr">
        <is>
          <t xml:space="preserve">4816148176332</t>
        </is>
      </c>
      <c r="Q393" s="3" t="str">
        <f>HYPERLINK("https://modify.by/img/93657939/1.webp","фото")</f>
        <v>фото</v>
      </c>
      <c r="R393" s="3" t="str">
        <f>HYPERLINK("https://modify.by/catalog/rubashki/93657939/?utm_source=price&amp;utm_medium=xlsx","открыть")</f>
        <v>открыть</v>
      </c>
    </row>
    <row r="394">
      <c r="A394" t="inlineStr">
        <is>
          <t xml:space="preserve">Женский</t>
        </is>
      </c>
      <c r="B394" t="inlineStr">
        <is>
          <t xml:space="preserve">Рубашки</t>
        </is>
      </c>
      <c r="C394" t="inlineStr">
        <is>
          <t xml:space="preserve">Рубашка летняя длинная</t>
        </is>
      </c>
      <c r="D394" t="inlineStr">
        <is>
          <t xml:space="preserve">SH22W02Пудровый</t>
        </is>
      </c>
      <c r="E394" t="inlineStr">
        <is>
          <t xml:space="preserve">пудровый</t>
        </is>
      </c>
      <c r="F394" t="inlineStr">
        <is>
          <t xml:space="preserve">46</t>
        </is>
      </c>
      <c r="G394">
        <v>2</v>
      </c>
      <c r="H394" s="2">
        <v>30.0</v>
      </c>
      <c r="I394" t="inlineStr">
        <is>
          <t xml:space="preserve">вискоза 100%</t>
        </is>
      </c>
      <c r="J394"/>
      <c r="K394" t="inlineStr">
        <is>
          <t xml:space="preserve">Бангладеш</t>
        </is>
      </c>
      <c r="L394" t="inlineStr">
        <is>
          <t xml:space="preserve">6206400000</t>
        </is>
      </c>
      <c r="M394" t="inlineStr">
        <is>
          <t xml:space="preserve">Декларация № ЕАЭС № BY/112 11.01. ТР017 122.01 08246, до 19.04.2028</t>
        </is>
      </c>
      <c r="N394" t="inlineStr">
        <is>
          <t xml:space="preserve">35 × 30 × 2</t>
        </is>
      </c>
      <c r="O394" t="inlineStr">
        <is>
          <t xml:space="preserve">0,25</t>
        </is>
      </c>
      <c r="P394" t="inlineStr">
        <is>
          <t xml:space="preserve">2016957037165</t>
        </is>
      </c>
      <c r="Q394" s="3" t="str">
        <f>HYPERLINK("https://modify.by/img/93657939/1.webp","фото")</f>
        <v>фото</v>
      </c>
      <c r="R394" s="3" t="str">
        <f>HYPERLINK("https://modify.by/catalog/rubashki/93657939/?utm_source=price&amp;utm_medium=xlsx","открыть")</f>
        <v>открыть</v>
      </c>
    </row>
    <row r="395">
      <c r="A395" t="inlineStr">
        <is>
          <t xml:space="preserve">Женский</t>
        </is>
      </c>
      <c r="B395" t="inlineStr">
        <is>
          <t xml:space="preserve">Рубашки</t>
        </is>
      </c>
      <c r="C395" t="inlineStr">
        <is>
          <t xml:space="preserve">Рубашка летняя длинная</t>
        </is>
      </c>
      <c r="D395" t="inlineStr">
        <is>
          <t xml:space="preserve">SH22W02Пудровый</t>
        </is>
      </c>
      <c r="E395" t="inlineStr">
        <is>
          <t xml:space="preserve">пудровый</t>
        </is>
      </c>
      <c r="F395" t="inlineStr">
        <is>
          <t xml:space="preserve">46</t>
        </is>
      </c>
      <c r="G395">
        <v>2</v>
      </c>
      <c r="H395" s="2">
        <v>30.0</v>
      </c>
      <c r="I395" t="inlineStr">
        <is>
          <t xml:space="preserve">вискоза 100%</t>
        </is>
      </c>
      <c r="J395"/>
      <c r="K395" t="inlineStr">
        <is>
          <t xml:space="preserve">Бангладеш</t>
        </is>
      </c>
      <c r="L395" t="inlineStr">
        <is>
          <t xml:space="preserve">6206400000</t>
        </is>
      </c>
      <c r="M395" t="inlineStr">
        <is>
          <t xml:space="preserve">Декларация № ЕАЭС № BY/112 11.01. ТР017 122.01 08246, до 19.04.2028</t>
        </is>
      </c>
      <c r="N395" t="inlineStr">
        <is>
          <t xml:space="preserve">35 × 30 × 2</t>
        </is>
      </c>
      <c r="O395" t="inlineStr">
        <is>
          <t xml:space="preserve">0,25</t>
        </is>
      </c>
      <c r="P395" t="inlineStr">
        <is>
          <t xml:space="preserve">4816148176349</t>
        </is>
      </c>
      <c r="Q395" s="3" t="str">
        <f>HYPERLINK("https://modify.by/img/93657939/1.webp","фото")</f>
        <v>фото</v>
      </c>
      <c r="R395" s="3" t="str">
        <f>HYPERLINK("https://modify.by/catalog/rubashki/93657939/?utm_source=price&amp;utm_medium=xlsx","открыть")</f>
        <v>открыть</v>
      </c>
    </row>
    <row r="396">
      <c r="A396" t="inlineStr">
        <is>
          <t xml:space="preserve">Женский</t>
        </is>
      </c>
      <c r="B396" t="inlineStr">
        <is>
          <t xml:space="preserve">Рубашки</t>
        </is>
      </c>
      <c r="C396" t="inlineStr">
        <is>
          <t xml:space="preserve">Рубашка оверсайз из муслина летняя блузка хлопок 100%</t>
        </is>
      </c>
      <c r="D396" t="inlineStr">
        <is>
          <t xml:space="preserve">SH62W01фламинго</t>
        </is>
      </c>
      <c r="E396" t="inlineStr">
        <is>
          <t xml:space="preserve">розовый фламинго</t>
        </is>
      </c>
      <c r="F396" t="inlineStr">
        <is>
          <t xml:space="preserve">46-48</t>
        </is>
      </c>
      <c r="G396">
        <v>30</v>
      </c>
      <c r="H396" s="2">
        <v>27.0</v>
      </c>
      <c r="I396" t="inlineStr">
        <is>
          <t xml:space="preserve">100% хлопок, муслин, органический премиум хлопок</t>
        </is>
      </c>
      <c r="J396"/>
      <c r="K396" t="inlineStr">
        <is>
          <t xml:space="preserve">Бангладеш</t>
        </is>
      </c>
      <c r="L396" t="inlineStr">
        <is>
          <t xml:space="preserve">6206300000</t>
        </is>
      </c>
      <c r="M396" t="inlineStr">
        <is>
          <t xml:space="preserve">Декларация № ЕАЭС № BY/112 11.01. ТР017 122.01 08246, до 19.04.2028</t>
        </is>
      </c>
      <c r="N396" t="inlineStr">
        <is>
          <t xml:space="preserve">35 × 27 × 3</t>
        </is>
      </c>
      <c r="O396" t="inlineStr">
        <is>
          <t xml:space="preserve">0,26</t>
        </is>
      </c>
      <c r="P396" t="inlineStr">
        <is>
          <t xml:space="preserve">4816148184542</t>
        </is>
      </c>
      <c r="Q396" s="3" t="str">
        <f>HYPERLINK("https://modify.by/img/1147057091/1.webp","фото")</f>
        <v>фото</v>
      </c>
      <c r="R396" s="3" t="str">
        <f>HYPERLINK("https://modify.by/catalog/rubashki/1147057091/?utm_source=price&amp;utm_medium=xlsx","открыть")</f>
        <v>открыть</v>
      </c>
    </row>
    <row r="397">
      <c r="A397" t="inlineStr">
        <is>
          <t xml:space="preserve">Женский</t>
        </is>
      </c>
      <c r="B397" t="inlineStr">
        <is>
          <t xml:space="preserve">Рубашки</t>
        </is>
      </c>
      <c r="C397" t="inlineStr">
        <is>
          <t xml:space="preserve">Рубашка оверсайз из муслина летняя блузка хлопок 100%</t>
        </is>
      </c>
      <c r="D397" t="inlineStr">
        <is>
          <t xml:space="preserve">SH62W01фламинго</t>
        </is>
      </c>
      <c r="E397" t="inlineStr">
        <is>
          <t xml:space="preserve">розовый фламинго</t>
        </is>
      </c>
      <c r="F397" t="inlineStr">
        <is>
          <t xml:space="preserve">50-52</t>
        </is>
      </c>
      <c r="G397">
        <v>31</v>
      </c>
      <c r="H397" s="2">
        <v>27.0</v>
      </c>
      <c r="I397" t="inlineStr">
        <is>
          <t xml:space="preserve">100% хлопок, муслин, органический премиум хлопок</t>
        </is>
      </c>
      <c r="J397"/>
      <c r="K397" t="inlineStr">
        <is>
          <t xml:space="preserve">Бангладеш</t>
        </is>
      </c>
      <c r="L397" t="inlineStr">
        <is>
          <t xml:space="preserve">6206300000</t>
        </is>
      </c>
      <c r="M397" t="inlineStr">
        <is>
          <t xml:space="preserve">Декларация № ЕАЭС № BY/112 11.01. ТР017 122.01 08246, до 19.04.2028</t>
        </is>
      </c>
      <c r="N397" t="inlineStr">
        <is>
          <t xml:space="preserve">35 × 27 × 3</t>
        </is>
      </c>
      <c r="O397" t="inlineStr">
        <is>
          <t xml:space="preserve">0,26</t>
        </is>
      </c>
      <c r="P397" t="inlineStr">
        <is>
          <t xml:space="preserve">4816148184559</t>
        </is>
      </c>
      <c r="Q397" s="3" t="str">
        <f>HYPERLINK("https://modify.by/img/1147057091/1.webp","фото")</f>
        <v>фото</v>
      </c>
      <c r="R397" s="3" t="str">
        <f>HYPERLINK("https://modify.by/catalog/rubashki/1147057091/?utm_source=price&amp;utm_medium=xlsx","открыть")</f>
        <v>открыть</v>
      </c>
    </row>
    <row r="398">
      <c r="A398" t="inlineStr">
        <is>
          <t xml:space="preserve">Женский</t>
        </is>
      </c>
      <c r="B398" t="inlineStr">
        <is>
          <t xml:space="preserve">Рубашки</t>
        </is>
      </c>
      <c r="C398" t="inlineStr">
        <is>
          <t xml:space="preserve">Рубашка оверсайз из муслина летняя блузка хлопок 100%</t>
        </is>
      </c>
      <c r="D398" t="inlineStr">
        <is>
          <t xml:space="preserve">SH62W01фламинго</t>
        </is>
      </c>
      <c r="E398" t="inlineStr">
        <is>
          <t xml:space="preserve">розовый фламинго</t>
        </is>
      </c>
      <c r="F398" t="inlineStr">
        <is>
          <t xml:space="preserve">52-54</t>
        </is>
      </c>
      <c r="G398">
        <v>15</v>
      </c>
      <c r="H398" s="2">
        <v>27.0</v>
      </c>
      <c r="I398" t="inlineStr">
        <is>
          <t xml:space="preserve">100% хлопок, муслин, органический премиум хлопок</t>
        </is>
      </c>
      <c r="J398"/>
      <c r="K398" t="inlineStr">
        <is>
          <t xml:space="preserve">Бангладеш</t>
        </is>
      </c>
      <c r="L398" t="inlineStr">
        <is>
          <t xml:space="preserve">6206300000</t>
        </is>
      </c>
      <c r="M398" t="inlineStr">
        <is>
          <t xml:space="preserve">Декларация № ЕАЭС № BY/112 11.01. ТР017 122.01 08246, до 19.04.2028</t>
        </is>
      </c>
      <c r="N398" t="inlineStr">
        <is>
          <t xml:space="preserve">35 × 27 × 3</t>
        </is>
      </c>
      <c r="O398" t="inlineStr">
        <is>
          <t xml:space="preserve">0,26</t>
        </is>
      </c>
      <c r="P398" t="inlineStr">
        <is>
          <t xml:space="preserve">4816148184566</t>
        </is>
      </c>
      <c r="Q398" s="3" t="str">
        <f>HYPERLINK("https://modify.by/img/1147057091/1.webp","фото")</f>
        <v>фото</v>
      </c>
      <c r="R398" s="3" t="str">
        <f>HYPERLINK("https://modify.by/catalog/rubashki/1147057091/?utm_source=price&amp;utm_medium=xlsx","открыть")</f>
        <v>открыть</v>
      </c>
    </row>
    <row r="399">
      <c r="A399" t="inlineStr">
        <is>
          <t xml:space="preserve">Женский</t>
        </is>
      </c>
      <c r="B399" t="inlineStr">
        <is>
          <t xml:space="preserve">Рубашки</t>
        </is>
      </c>
      <c r="C399" t="inlineStr">
        <is>
          <t xml:space="preserve">Рубашка оверсайз клетчатая фланелевая</t>
        </is>
      </c>
      <c r="D399" t="inlineStr">
        <is>
          <t xml:space="preserve">SH42W02голубой,белый</t>
        </is>
      </c>
      <c r="E399" t="inlineStr">
        <is>
          <t xml:space="preserve">голубой, белый</t>
        </is>
      </c>
      <c r="F399" t="inlineStr">
        <is>
          <t xml:space="preserve">44</t>
        </is>
      </c>
      <c r="G399">
        <v>5</v>
      </c>
      <c r="H399" s="2">
        <v>30.0</v>
      </c>
      <c r="I399" t="inlineStr">
        <is>
          <t xml:space="preserve">хлопок 100%</t>
        </is>
      </c>
      <c r="J399"/>
      <c r="K399" t="inlineStr">
        <is>
          <t xml:space="preserve">Бангладеш</t>
        </is>
      </c>
      <c r="L399" t="inlineStr">
        <is>
          <t xml:space="preserve">6206300000</t>
        </is>
      </c>
      <c r="M399" t="inlineStr">
        <is>
          <t xml:space="preserve">Декларация № ЕАЭС № BY/112 11.01. ТР017 122.01 08246, до 19.04.2028</t>
        </is>
      </c>
      <c r="N399" t="inlineStr">
        <is>
          <t xml:space="preserve">27 × 34 × 3</t>
        </is>
      </c>
      <c r="O399" t="inlineStr">
        <is>
          <t xml:space="preserve">0,35</t>
        </is>
      </c>
      <c r="P399" t="inlineStr">
        <is>
          <t xml:space="preserve">4816148102157</t>
        </is>
      </c>
      <c r="Q399" s="3" t="str">
        <f>HYPERLINK("https://modify.by/img/234686658/1.webp","фото")</f>
        <v>фото</v>
      </c>
      <c r="R399" s="3" t="str">
        <f>HYPERLINK("https://modify.by/catalog/rubashki/234686658/?utm_source=price&amp;utm_medium=xlsx","открыть")</f>
        <v>открыть</v>
      </c>
    </row>
    <row r="400">
      <c r="A400" t="inlineStr">
        <is>
          <t xml:space="preserve">Женский</t>
        </is>
      </c>
      <c r="B400" t="inlineStr">
        <is>
          <t xml:space="preserve">Рубашки</t>
        </is>
      </c>
      <c r="C400" t="inlineStr">
        <is>
          <t xml:space="preserve">Рубашка оверсайз клетчатая фланелевая</t>
        </is>
      </c>
      <c r="D400" t="inlineStr">
        <is>
          <t xml:space="preserve">SH42W02голубой,белый</t>
        </is>
      </c>
      <c r="E400" t="inlineStr">
        <is>
          <t xml:space="preserve">голубой, белый</t>
        </is>
      </c>
      <c r="F400" t="inlineStr">
        <is>
          <t xml:space="preserve">48</t>
        </is>
      </c>
      <c r="G400">
        <v>1</v>
      </c>
      <c r="H400" s="2">
        <v>30.0</v>
      </c>
      <c r="I400" t="inlineStr">
        <is>
          <t xml:space="preserve">хлопок 100%</t>
        </is>
      </c>
      <c r="J400"/>
      <c r="K400" t="inlineStr">
        <is>
          <t xml:space="preserve">Бангладеш</t>
        </is>
      </c>
      <c r="L400" t="inlineStr">
        <is>
          <t xml:space="preserve">6206300000</t>
        </is>
      </c>
      <c r="M400" t="inlineStr">
        <is>
          <t xml:space="preserve">Декларация № ЕАЭС № BY/112 11.01. ТР017 122.01 08246, до 19.04.2028</t>
        </is>
      </c>
      <c r="N400" t="inlineStr">
        <is>
          <t xml:space="preserve">27 × 34 × 3</t>
        </is>
      </c>
      <c r="O400" t="inlineStr">
        <is>
          <t xml:space="preserve">0,35</t>
        </is>
      </c>
      <c r="P400" t="inlineStr">
        <is>
          <t xml:space="preserve">4816148102171</t>
        </is>
      </c>
      <c r="Q400" s="3" t="str">
        <f>HYPERLINK("https://modify.by/img/234686658/1.webp","фото")</f>
        <v>фото</v>
      </c>
      <c r="R400" s="3" t="str">
        <f>HYPERLINK("https://modify.by/catalog/rubashki/234686658/?utm_source=price&amp;utm_medium=xlsx","открыть")</f>
        <v>открыть</v>
      </c>
    </row>
    <row r="401">
      <c r="A401" t="inlineStr">
        <is>
          <t xml:space="preserve">Женский</t>
        </is>
      </c>
      <c r="B401" t="inlineStr">
        <is>
          <t xml:space="preserve">Рубашки</t>
        </is>
      </c>
      <c r="C401" t="inlineStr">
        <is>
          <t xml:space="preserve">Рубашка оверсайз офисная, бордовый</t>
        </is>
      </c>
      <c r="D401" t="inlineStr">
        <is>
          <t xml:space="preserve">SH22W01Бордовый_93659033</t>
        </is>
      </c>
      <c r="E401" t="inlineStr">
        <is>
          <t xml:space="preserve">бордовый</t>
        </is>
      </c>
      <c r="F401" t="inlineStr">
        <is>
          <t xml:space="preserve">46-48</t>
        </is>
      </c>
      <c r="G401">
        <v>1</v>
      </c>
      <c r="H401" s="2">
        <v>25.0</v>
      </c>
      <c r="I401" t="inlineStr">
        <is>
          <t xml:space="preserve">полиэстер 100%</t>
        </is>
      </c>
      <c r="J401"/>
      <c r="K401" t="inlineStr">
        <is>
          <t xml:space="preserve">Бангладеш</t>
        </is>
      </c>
      <c r="L401" t="inlineStr">
        <is>
          <t xml:space="preserve">6206400000</t>
        </is>
      </c>
      <c r="M401" t="inlineStr">
        <is>
          <t xml:space="preserve">Декларация № ЕАЭС № BY/112 11.01. ТР017 122.01 08246, до 19.04.2028</t>
        </is>
      </c>
      <c r="N401" t="inlineStr">
        <is>
          <t xml:space="preserve">1 × 30 × 35</t>
        </is>
      </c>
      <c r="O401" t="inlineStr">
        <is>
          <t xml:space="preserve">0,35</t>
        </is>
      </c>
      <c r="P401" t="inlineStr">
        <is>
          <t xml:space="preserve">2016957037400</t>
        </is>
      </c>
      <c r="Q401" s="3" t="str">
        <f>HYPERLINK("https://modify.by/img/93659033/1.webp","фото")</f>
        <v>фото</v>
      </c>
      <c r="R401" s="3" t="str">
        <f>HYPERLINK("https://modify.by/catalog/rubashki/93659033/?utm_source=price&amp;utm_medium=xlsx","открыть")</f>
        <v>открыть</v>
      </c>
    </row>
    <row r="402">
      <c r="A402" t="inlineStr">
        <is>
          <t xml:space="preserve">Женский</t>
        </is>
      </c>
      <c r="B402" t="inlineStr">
        <is>
          <t xml:space="preserve">Рубашки</t>
        </is>
      </c>
      <c r="C402" t="inlineStr">
        <is>
          <t xml:space="preserve">Рубашка оверсайз офисная, бордовый</t>
        </is>
      </c>
      <c r="D402" t="inlineStr">
        <is>
          <t xml:space="preserve">SH22W01Бордовый_93659033</t>
        </is>
      </c>
      <c r="E402" t="inlineStr">
        <is>
          <t xml:space="preserve">бордовый</t>
        </is>
      </c>
      <c r="F402" t="inlineStr">
        <is>
          <t xml:space="preserve">46-48</t>
        </is>
      </c>
      <c r="G402">
        <v>1</v>
      </c>
      <c r="H402" s="2">
        <v>25.0</v>
      </c>
      <c r="I402" t="inlineStr">
        <is>
          <t xml:space="preserve">полиэстер 100%</t>
        </is>
      </c>
      <c r="J402"/>
      <c r="K402" t="inlineStr">
        <is>
          <t xml:space="preserve">Бангладеш</t>
        </is>
      </c>
      <c r="L402" t="inlineStr">
        <is>
          <t xml:space="preserve">6206400000</t>
        </is>
      </c>
      <c r="M402" t="inlineStr">
        <is>
          <t xml:space="preserve">Декларация № ЕАЭС № BY/112 11.01. ТР017 122.01 08246, до 19.04.2028</t>
        </is>
      </c>
      <c r="N402" t="inlineStr">
        <is>
          <t xml:space="preserve">1 × 30 × 35</t>
        </is>
      </c>
      <c r="O402" t="inlineStr">
        <is>
          <t xml:space="preserve">0,35</t>
        </is>
      </c>
      <c r="P402" t="inlineStr">
        <is>
          <t xml:space="preserve">4816148176660</t>
        </is>
      </c>
      <c r="Q402" s="3" t="str">
        <f>HYPERLINK("https://modify.by/img/93659033/1.webp","фото")</f>
        <v>фото</v>
      </c>
      <c r="R402" s="3" t="str">
        <f>HYPERLINK("https://modify.by/catalog/rubashki/93659033/?utm_source=price&amp;utm_medium=xlsx","открыть")</f>
        <v>открыть</v>
      </c>
    </row>
    <row r="403">
      <c r="A403" t="inlineStr">
        <is>
          <t xml:space="preserve">Женский</t>
        </is>
      </c>
      <c r="B403" t="inlineStr">
        <is>
          <t xml:space="preserve">Рубашки</t>
        </is>
      </c>
      <c r="C403" t="inlineStr">
        <is>
          <t xml:space="preserve">Рубашка оверсайз офисная, бордовый</t>
        </is>
      </c>
      <c r="D403" t="inlineStr">
        <is>
          <t xml:space="preserve">SH22W01Бордовый_93659033</t>
        </is>
      </c>
      <c r="E403" t="inlineStr">
        <is>
          <t xml:space="preserve">бордовый</t>
        </is>
      </c>
      <c r="F403" t="inlineStr">
        <is>
          <t xml:space="preserve">48-50</t>
        </is>
      </c>
      <c r="G403">
        <v>1</v>
      </c>
      <c r="H403" s="2">
        <v>25.0</v>
      </c>
      <c r="I403" t="inlineStr">
        <is>
          <t xml:space="preserve">полиэстер 100%</t>
        </is>
      </c>
      <c r="J403"/>
      <c r="K403" t="inlineStr">
        <is>
          <t xml:space="preserve">Бангладеш</t>
        </is>
      </c>
      <c r="L403" t="inlineStr">
        <is>
          <t xml:space="preserve">6206400000</t>
        </is>
      </c>
      <c r="M403" t="inlineStr">
        <is>
          <t xml:space="preserve">Декларация № ЕАЭС № BY/112 11.01. ТР017 122.01 08246, до 19.04.2028</t>
        </is>
      </c>
      <c r="N403" t="inlineStr">
        <is>
          <t xml:space="preserve">1 × 30 × 35</t>
        </is>
      </c>
      <c r="O403" t="inlineStr">
        <is>
          <t xml:space="preserve">0,35</t>
        </is>
      </c>
      <c r="P403" t="inlineStr">
        <is>
          <t xml:space="preserve">2016957037394</t>
        </is>
      </c>
      <c r="Q403" s="3" t="str">
        <f>HYPERLINK("https://modify.by/img/93659033/1.webp","фото")</f>
        <v>фото</v>
      </c>
      <c r="R403" s="3" t="str">
        <f>HYPERLINK("https://modify.by/catalog/rubashki/93659033/?utm_source=price&amp;utm_medium=xlsx","открыть")</f>
        <v>открыть</v>
      </c>
    </row>
    <row r="404">
      <c r="A404" t="inlineStr">
        <is>
          <t xml:space="preserve">Женский</t>
        </is>
      </c>
      <c r="B404" t="inlineStr">
        <is>
          <t xml:space="preserve">Рубашки</t>
        </is>
      </c>
      <c r="C404" t="inlineStr">
        <is>
          <t xml:space="preserve">Рубашка оверсайз офисная, бордовый</t>
        </is>
      </c>
      <c r="D404" t="inlineStr">
        <is>
          <t xml:space="preserve">SH22W01Бордовый_93659033</t>
        </is>
      </c>
      <c r="E404" t="inlineStr">
        <is>
          <t xml:space="preserve">бордовый</t>
        </is>
      </c>
      <c r="F404" t="inlineStr">
        <is>
          <t xml:space="preserve">48-50</t>
        </is>
      </c>
      <c r="G404">
        <v>1</v>
      </c>
      <c r="H404" s="2">
        <v>25.0</v>
      </c>
      <c r="I404" t="inlineStr">
        <is>
          <t xml:space="preserve">полиэстер 100%</t>
        </is>
      </c>
      <c r="J404"/>
      <c r="K404" t="inlineStr">
        <is>
          <t xml:space="preserve">Бангладеш</t>
        </is>
      </c>
      <c r="L404" t="inlineStr">
        <is>
          <t xml:space="preserve">6206400000</t>
        </is>
      </c>
      <c r="M404" t="inlineStr">
        <is>
          <t xml:space="preserve">Декларация № ЕАЭС № BY/112 11.01. ТР017 122.01 08246, до 19.04.2028</t>
        </is>
      </c>
      <c r="N404" t="inlineStr">
        <is>
          <t xml:space="preserve">1 × 30 × 35</t>
        </is>
      </c>
      <c r="O404" t="inlineStr">
        <is>
          <t xml:space="preserve">0,35</t>
        </is>
      </c>
      <c r="P404" t="inlineStr">
        <is>
          <t xml:space="preserve">4816148176677</t>
        </is>
      </c>
      <c r="Q404" s="3" t="str">
        <f>HYPERLINK("https://modify.by/img/93659033/1.webp","фото")</f>
        <v>фото</v>
      </c>
      <c r="R404" s="3" t="str">
        <f>HYPERLINK("https://modify.by/catalog/rubashki/93659033/?utm_source=price&amp;utm_medium=xlsx","открыть")</f>
        <v>открыть</v>
      </c>
    </row>
    <row r="405">
      <c r="A405" t="inlineStr">
        <is>
          <t xml:space="preserve">Женский</t>
        </is>
      </c>
      <c r="B405" t="inlineStr">
        <is>
          <t xml:space="preserve">Рубашки</t>
        </is>
      </c>
      <c r="C405" t="inlineStr">
        <is>
          <t xml:space="preserve">Рубашка оверсайз офисная, бордовый</t>
        </is>
      </c>
      <c r="D405" t="inlineStr">
        <is>
          <t xml:space="preserve">SH22W01Бордовый_93659033</t>
        </is>
      </c>
      <c r="E405" t="inlineStr">
        <is>
          <t xml:space="preserve">бордовый</t>
        </is>
      </c>
      <c r="F405" t="inlineStr">
        <is>
          <t xml:space="preserve">50-52</t>
        </is>
      </c>
      <c r="G405">
        <v>2</v>
      </c>
      <c r="H405" s="2">
        <v>25.0</v>
      </c>
      <c r="I405" t="inlineStr">
        <is>
          <t xml:space="preserve">полиэстер 100%</t>
        </is>
      </c>
      <c r="J405"/>
      <c r="K405" t="inlineStr">
        <is>
          <t xml:space="preserve">Бангладеш</t>
        </is>
      </c>
      <c r="L405" t="inlineStr">
        <is>
          <t xml:space="preserve">6206400000</t>
        </is>
      </c>
      <c r="M405" t="inlineStr">
        <is>
          <t xml:space="preserve">Декларация № ЕАЭС № BY/112 11.01. ТР017 122.01 08246, до 19.04.2028</t>
        </is>
      </c>
      <c r="N405" t="inlineStr">
        <is>
          <t xml:space="preserve">1 × 30 × 35</t>
        </is>
      </c>
      <c r="O405" t="inlineStr">
        <is>
          <t xml:space="preserve">0,35</t>
        </is>
      </c>
      <c r="P405" t="inlineStr">
        <is>
          <t xml:space="preserve">2016957037387</t>
        </is>
      </c>
      <c r="Q405" s="3" t="str">
        <f>HYPERLINK("https://modify.by/img/93659033/1.webp","фото")</f>
        <v>фото</v>
      </c>
      <c r="R405" s="3" t="str">
        <f>HYPERLINK("https://modify.by/catalog/rubashki/93659033/?utm_source=price&amp;utm_medium=xlsx","открыть")</f>
        <v>открыть</v>
      </c>
    </row>
    <row r="406">
      <c r="A406" t="inlineStr">
        <is>
          <t xml:space="preserve">Женский</t>
        </is>
      </c>
      <c r="B406" t="inlineStr">
        <is>
          <t xml:space="preserve">Рубашки</t>
        </is>
      </c>
      <c r="C406" t="inlineStr">
        <is>
          <t xml:space="preserve">Рубашка оверсайз офисная, бордовый</t>
        </is>
      </c>
      <c r="D406" t="inlineStr">
        <is>
          <t xml:space="preserve">SH22W01Бордовый_93659033</t>
        </is>
      </c>
      <c r="E406" t="inlineStr">
        <is>
          <t xml:space="preserve">бордовый</t>
        </is>
      </c>
      <c r="F406" t="inlineStr">
        <is>
          <t xml:space="preserve">50-52</t>
        </is>
      </c>
      <c r="G406">
        <v>2</v>
      </c>
      <c r="H406" s="2">
        <v>25.0</v>
      </c>
      <c r="I406" t="inlineStr">
        <is>
          <t xml:space="preserve">полиэстер 100%</t>
        </is>
      </c>
      <c r="J406"/>
      <c r="K406" t="inlineStr">
        <is>
          <t xml:space="preserve">Бангладеш</t>
        </is>
      </c>
      <c r="L406" t="inlineStr">
        <is>
          <t xml:space="preserve">6206400000</t>
        </is>
      </c>
      <c r="M406" t="inlineStr">
        <is>
          <t xml:space="preserve">Декларация № ЕАЭС № BY/112 11.01. ТР017 122.01 08246, до 19.04.2028</t>
        </is>
      </c>
      <c r="N406" t="inlineStr">
        <is>
          <t xml:space="preserve">1 × 30 × 35</t>
        </is>
      </c>
      <c r="O406" t="inlineStr">
        <is>
          <t xml:space="preserve">0,35</t>
        </is>
      </c>
      <c r="P406" t="inlineStr">
        <is>
          <t xml:space="preserve">4816148176684</t>
        </is>
      </c>
      <c r="Q406" s="3" t="str">
        <f>HYPERLINK("https://modify.by/img/93659033/1.webp","фото")</f>
        <v>фото</v>
      </c>
      <c r="R406" s="3" t="str">
        <f>HYPERLINK("https://modify.by/catalog/rubashki/93659033/?utm_source=price&amp;utm_medium=xlsx","открыть")</f>
        <v>открыть</v>
      </c>
    </row>
    <row r="407">
      <c r="A407" t="inlineStr">
        <is>
          <t xml:space="preserve">Женский</t>
        </is>
      </c>
      <c r="B407" t="inlineStr">
        <is>
          <t xml:space="preserve">Рубашки</t>
        </is>
      </c>
      <c r="C407" t="inlineStr">
        <is>
          <t xml:space="preserve">Рубашка оверсайз офисная, молочный</t>
        </is>
      </c>
      <c r="D407" t="inlineStr">
        <is>
          <t xml:space="preserve">SH22W01Молочный</t>
        </is>
      </c>
      <c r="E407" t="inlineStr">
        <is>
          <t xml:space="preserve">молочный</t>
        </is>
      </c>
      <c r="F407" t="inlineStr">
        <is>
          <t xml:space="preserve">54</t>
        </is>
      </c>
      <c r="G407">
        <v>2</v>
      </c>
      <c r="H407" s="2">
        <v>25.0</v>
      </c>
      <c r="I407" t="inlineStr">
        <is>
          <t xml:space="preserve">полиэстер 100%</t>
        </is>
      </c>
      <c r="J407"/>
      <c r="K407" t="inlineStr">
        <is>
          <t xml:space="preserve">Бангладеш</t>
        </is>
      </c>
      <c r="L407" t="inlineStr">
        <is>
          <t xml:space="preserve">6206400000</t>
        </is>
      </c>
      <c r="M407" t="inlineStr">
        <is>
          <t xml:space="preserve">Декларация № ЕАЭС № BY/112 11.01. ТР017 122.01 08246, до 19.04.2028</t>
        </is>
      </c>
      <c r="N407" t="inlineStr">
        <is>
          <t xml:space="preserve">1 × 30 × 35</t>
        </is>
      </c>
      <c r="O407" t="inlineStr">
        <is>
          <t xml:space="preserve">0,35</t>
        </is>
      </c>
      <c r="P407" t="inlineStr">
        <is>
          <t xml:space="preserve">2016957037295</t>
        </is>
      </c>
      <c r="Q407" s="3" t="str">
        <f>HYPERLINK("https://modify.by/img/93659032/1.webp","фото")</f>
        <v>фото</v>
      </c>
      <c r="R407" s="3" t="str">
        <f>HYPERLINK("https://modify.by/catalog/rubashki/93659032/?utm_source=price&amp;utm_medium=xlsx","открыть")</f>
        <v>открыть</v>
      </c>
    </row>
    <row r="408">
      <c r="A408" t="inlineStr">
        <is>
          <t xml:space="preserve">Женский</t>
        </is>
      </c>
      <c r="B408" t="inlineStr">
        <is>
          <t xml:space="preserve">Рубашки</t>
        </is>
      </c>
      <c r="C408" t="inlineStr">
        <is>
          <t xml:space="preserve">Рубашка оверсайз офисная, молочный</t>
        </is>
      </c>
      <c r="D408" t="inlineStr">
        <is>
          <t xml:space="preserve">SH22W01Молочный</t>
        </is>
      </c>
      <c r="E408" t="inlineStr">
        <is>
          <t xml:space="preserve">молочный</t>
        </is>
      </c>
      <c r="F408" t="inlineStr">
        <is>
          <t xml:space="preserve">54</t>
        </is>
      </c>
      <c r="G408">
        <v>2</v>
      </c>
      <c r="H408" s="2">
        <v>25.0</v>
      </c>
      <c r="I408" t="inlineStr">
        <is>
          <t xml:space="preserve">полиэстер 100%</t>
        </is>
      </c>
      <c r="J408"/>
      <c r="K408" t="inlineStr">
        <is>
          <t xml:space="preserve">Бангладеш</t>
        </is>
      </c>
      <c r="L408" t="inlineStr">
        <is>
          <t xml:space="preserve">6206400000</t>
        </is>
      </c>
      <c r="M408" t="inlineStr">
        <is>
          <t xml:space="preserve">Декларация № ЕАЭС № BY/112 11.01. ТР017 122.01 08246, до 19.04.2028</t>
        </is>
      </c>
      <c r="N408" t="inlineStr">
        <is>
          <t xml:space="preserve">1 × 30 × 35</t>
        </is>
      </c>
      <c r="O408" t="inlineStr">
        <is>
          <t xml:space="preserve">0,35</t>
        </is>
      </c>
      <c r="P408" t="inlineStr">
        <is>
          <t xml:space="preserve">4816148176745</t>
        </is>
      </c>
      <c r="Q408" s="3" t="str">
        <f>HYPERLINK("https://modify.by/img/93659032/1.webp","фото")</f>
        <v>фото</v>
      </c>
      <c r="R408" s="3" t="str">
        <f>HYPERLINK("https://modify.by/catalog/rubashki/93659032/?utm_source=price&amp;utm_medium=xlsx","открыть")</f>
        <v>открыть</v>
      </c>
    </row>
    <row r="409">
      <c r="A409" t="inlineStr">
        <is>
          <t xml:space="preserve">Женский</t>
        </is>
      </c>
      <c r="B409" t="inlineStr">
        <is>
          <t xml:space="preserve">Рубашки</t>
        </is>
      </c>
      <c r="C409" t="inlineStr">
        <is>
          <t xml:space="preserve">Рубашка оверсайз офисная, молочный</t>
        </is>
      </c>
      <c r="D409" t="inlineStr">
        <is>
          <t xml:space="preserve">SH22W01Молочный</t>
        </is>
      </c>
      <c r="E409" t="inlineStr">
        <is>
          <t xml:space="preserve">молочный</t>
        </is>
      </c>
      <c r="F409" t="inlineStr">
        <is>
          <t xml:space="preserve">44-46</t>
        </is>
      </c>
      <c r="G409">
        <v>3</v>
      </c>
      <c r="H409" s="2">
        <v>25.0</v>
      </c>
      <c r="I409" t="inlineStr">
        <is>
          <t xml:space="preserve">полиэстер 100%</t>
        </is>
      </c>
      <c r="J409"/>
      <c r="K409" t="inlineStr">
        <is>
          <t xml:space="preserve">Бангладеш</t>
        </is>
      </c>
      <c r="L409" t="inlineStr">
        <is>
          <t xml:space="preserve">6206400000</t>
        </is>
      </c>
      <c r="M409" t="inlineStr">
        <is>
          <t xml:space="preserve">Декларация № ЕАЭС № BY/112 11.01. ТР017 122.01 08246, до 19.04.2028</t>
        </is>
      </c>
      <c r="N409" t="inlineStr">
        <is>
          <t xml:space="preserve">1 × 30 × 35</t>
        </is>
      </c>
      <c r="O409" t="inlineStr">
        <is>
          <t xml:space="preserve">0,35</t>
        </is>
      </c>
      <c r="P409" t="inlineStr">
        <is>
          <t xml:space="preserve">2016957037349</t>
        </is>
      </c>
      <c r="Q409" s="3" t="str">
        <f>HYPERLINK("https://modify.by/img/93659032/1.webp","фото")</f>
        <v>фото</v>
      </c>
      <c r="R409" s="3" t="str">
        <f>HYPERLINK("https://modify.by/catalog/rubashki/93659032/?utm_source=price&amp;utm_medium=xlsx","открыть")</f>
        <v>открыть</v>
      </c>
    </row>
    <row r="410">
      <c r="A410" t="inlineStr">
        <is>
          <t xml:space="preserve">Женский</t>
        </is>
      </c>
      <c r="B410" t="inlineStr">
        <is>
          <t xml:space="preserve">Рубашки</t>
        </is>
      </c>
      <c r="C410" t="inlineStr">
        <is>
          <t xml:space="preserve">Рубашка оверсайз офисная, молочный</t>
        </is>
      </c>
      <c r="D410" t="inlineStr">
        <is>
          <t xml:space="preserve">SH22W01Молочный</t>
        </is>
      </c>
      <c r="E410" t="inlineStr">
        <is>
          <t xml:space="preserve">молочный</t>
        </is>
      </c>
      <c r="F410" t="inlineStr">
        <is>
          <t xml:space="preserve">44-46</t>
        </is>
      </c>
      <c r="G410">
        <v>3</v>
      </c>
      <c r="H410" s="2">
        <v>25.0</v>
      </c>
      <c r="I410" t="inlineStr">
        <is>
          <t xml:space="preserve">полиэстер 100%</t>
        </is>
      </c>
      <c r="J410"/>
      <c r="K410" t="inlineStr">
        <is>
          <t xml:space="preserve">Бангладеш</t>
        </is>
      </c>
      <c r="L410" t="inlineStr">
        <is>
          <t xml:space="preserve">6206400000</t>
        </is>
      </c>
      <c r="M410" t="inlineStr">
        <is>
          <t xml:space="preserve">Декларация № ЕАЭС № BY/112 11.01. ТР017 122.01 08246, до 19.04.2028</t>
        </is>
      </c>
      <c r="N410" t="inlineStr">
        <is>
          <t xml:space="preserve">1 × 30 × 35</t>
        </is>
      </c>
      <c r="O410" t="inlineStr">
        <is>
          <t xml:space="preserve">0,35</t>
        </is>
      </c>
      <c r="P410" t="inlineStr">
        <is>
          <t xml:space="preserve">4816148176691</t>
        </is>
      </c>
      <c r="Q410" s="3" t="str">
        <f>HYPERLINK("https://modify.by/img/93659032/1.webp","фото")</f>
        <v>фото</v>
      </c>
      <c r="R410" s="3" t="str">
        <f>HYPERLINK("https://modify.by/catalog/rubashki/93659032/?utm_source=price&amp;utm_medium=xlsx","открыть")</f>
        <v>открыть</v>
      </c>
    </row>
    <row r="411">
      <c r="A411" t="inlineStr">
        <is>
          <t xml:space="preserve">Женский</t>
        </is>
      </c>
      <c r="B411" t="inlineStr">
        <is>
          <t xml:space="preserve">Рубашки</t>
        </is>
      </c>
      <c r="C411" t="inlineStr">
        <is>
          <t xml:space="preserve">Рубашка оверсайз офисная, молочный</t>
        </is>
      </c>
      <c r="D411" t="inlineStr">
        <is>
          <t xml:space="preserve">SH22W01Молочный</t>
        </is>
      </c>
      <c r="E411" t="inlineStr">
        <is>
          <t xml:space="preserve">молочный</t>
        </is>
      </c>
      <c r="F411" t="inlineStr">
        <is>
          <t xml:space="preserve">46-48</t>
        </is>
      </c>
      <c r="G411">
        <v>2</v>
      </c>
      <c r="H411" s="2">
        <v>25.0</v>
      </c>
      <c r="I411" t="inlineStr">
        <is>
          <t xml:space="preserve">полиэстер 100%</t>
        </is>
      </c>
      <c r="J411"/>
      <c r="K411" t="inlineStr">
        <is>
          <t xml:space="preserve">Бангладеш</t>
        </is>
      </c>
      <c r="L411" t="inlineStr">
        <is>
          <t xml:space="preserve">6206400000</t>
        </is>
      </c>
      <c r="M411" t="inlineStr">
        <is>
          <t xml:space="preserve">Декларация № ЕАЭС № BY/112 11.01. ТР017 122.01 08246, до 19.04.2028</t>
        </is>
      </c>
      <c r="N411" t="inlineStr">
        <is>
          <t xml:space="preserve">1 × 30 × 35</t>
        </is>
      </c>
      <c r="O411" t="inlineStr">
        <is>
          <t xml:space="preserve">0,35</t>
        </is>
      </c>
      <c r="P411" t="inlineStr">
        <is>
          <t xml:space="preserve">2016957037332</t>
        </is>
      </c>
      <c r="Q411" s="3" t="str">
        <f>HYPERLINK("https://modify.by/img/93659032/1.webp","фото")</f>
        <v>фото</v>
      </c>
      <c r="R411" s="3" t="str">
        <f>HYPERLINK("https://modify.by/catalog/rubashki/93659032/?utm_source=price&amp;utm_medium=xlsx","открыть")</f>
        <v>открыть</v>
      </c>
    </row>
    <row r="412">
      <c r="A412" t="inlineStr">
        <is>
          <t xml:space="preserve">Женский</t>
        </is>
      </c>
      <c r="B412" t="inlineStr">
        <is>
          <t xml:space="preserve">Рубашки</t>
        </is>
      </c>
      <c r="C412" t="inlineStr">
        <is>
          <t xml:space="preserve">Рубашка оверсайз офисная, молочный</t>
        </is>
      </c>
      <c r="D412" t="inlineStr">
        <is>
          <t xml:space="preserve">SH22W01Молочный</t>
        </is>
      </c>
      <c r="E412" t="inlineStr">
        <is>
          <t xml:space="preserve">молочный</t>
        </is>
      </c>
      <c r="F412" t="inlineStr">
        <is>
          <t xml:space="preserve">46-48</t>
        </is>
      </c>
      <c r="G412">
        <v>2</v>
      </c>
      <c r="H412" s="2">
        <v>25.0</v>
      </c>
      <c r="I412" t="inlineStr">
        <is>
          <t xml:space="preserve">полиэстер 100%</t>
        </is>
      </c>
      <c r="J412"/>
      <c r="K412" t="inlineStr">
        <is>
          <t xml:space="preserve">Бангладеш</t>
        </is>
      </c>
      <c r="L412" t="inlineStr">
        <is>
          <t xml:space="preserve">6206400000</t>
        </is>
      </c>
      <c r="M412" t="inlineStr">
        <is>
          <t xml:space="preserve">Декларация № ЕАЭС № BY/112 11.01. ТР017 122.01 08246, до 19.04.2028</t>
        </is>
      </c>
      <c r="N412" t="inlineStr">
        <is>
          <t xml:space="preserve">1 × 30 × 35</t>
        </is>
      </c>
      <c r="O412" t="inlineStr">
        <is>
          <t xml:space="preserve">0,35</t>
        </is>
      </c>
      <c r="P412" t="inlineStr">
        <is>
          <t xml:space="preserve">4816148176707</t>
        </is>
      </c>
      <c r="Q412" s="3" t="str">
        <f>HYPERLINK("https://modify.by/img/93659032/1.webp","фото")</f>
        <v>фото</v>
      </c>
      <c r="R412" s="3" t="str">
        <f>HYPERLINK("https://modify.by/catalog/rubashki/93659032/?utm_source=price&amp;utm_medium=xlsx","открыть")</f>
        <v>открыть</v>
      </c>
    </row>
    <row r="413">
      <c r="A413" t="inlineStr">
        <is>
          <t xml:space="preserve">Женский</t>
        </is>
      </c>
      <c r="B413" t="inlineStr">
        <is>
          <t xml:space="preserve">Рубашки</t>
        </is>
      </c>
      <c r="C413" t="inlineStr">
        <is>
          <t xml:space="preserve">Рубашка оверсайз офисная, молочный</t>
        </is>
      </c>
      <c r="D413" t="inlineStr">
        <is>
          <t xml:space="preserve">SH22W01Молочный</t>
        </is>
      </c>
      <c r="E413" t="inlineStr">
        <is>
          <t xml:space="preserve">молочный</t>
        </is>
      </c>
      <c r="F413" t="inlineStr">
        <is>
          <t xml:space="preserve">48-50</t>
        </is>
      </c>
      <c r="G413">
        <v>2</v>
      </c>
      <c r="H413" s="2">
        <v>25.0</v>
      </c>
      <c r="I413" t="inlineStr">
        <is>
          <t xml:space="preserve">полиэстер 100%</t>
        </is>
      </c>
      <c r="J413"/>
      <c r="K413" t="inlineStr">
        <is>
          <t xml:space="preserve">Бангладеш</t>
        </is>
      </c>
      <c r="L413" t="inlineStr">
        <is>
          <t xml:space="preserve">6206400000</t>
        </is>
      </c>
      <c r="M413" t="inlineStr">
        <is>
          <t xml:space="preserve">Декларация № ЕАЭС № BY/112 11.01. ТР017 122.01 08246, до 19.04.2028</t>
        </is>
      </c>
      <c r="N413" t="inlineStr">
        <is>
          <t xml:space="preserve">1 × 30 × 35</t>
        </is>
      </c>
      <c r="O413" t="inlineStr">
        <is>
          <t xml:space="preserve">0,35</t>
        </is>
      </c>
      <c r="P413" t="inlineStr">
        <is>
          <t xml:space="preserve">2016957037325</t>
        </is>
      </c>
      <c r="Q413" s="3" t="str">
        <f>HYPERLINK("https://modify.by/img/93659032/1.webp","фото")</f>
        <v>фото</v>
      </c>
      <c r="R413" s="3" t="str">
        <f>HYPERLINK("https://modify.by/catalog/rubashki/93659032/?utm_source=price&amp;utm_medium=xlsx","открыть")</f>
        <v>открыть</v>
      </c>
    </row>
    <row r="414">
      <c r="A414" t="inlineStr">
        <is>
          <t xml:space="preserve">Женский</t>
        </is>
      </c>
      <c r="B414" t="inlineStr">
        <is>
          <t xml:space="preserve">Рубашки</t>
        </is>
      </c>
      <c r="C414" t="inlineStr">
        <is>
          <t xml:space="preserve">Рубашка оверсайз офисная, молочный</t>
        </is>
      </c>
      <c r="D414" t="inlineStr">
        <is>
          <t xml:space="preserve">SH22W01Молочный</t>
        </is>
      </c>
      <c r="E414" t="inlineStr">
        <is>
          <t xml:space="preserve">молочный</t>
        </is>
      </c>
      <c r="F414" t="inlineStr">
        <is>
          <t xml:space="preserve">48-50</t>
        </is>
      </c>
      <c r="G414">
        <v>2</v>
      </c>
      <c r="H414" s="2">
        <v>25.0</v>
      </c>
      <c r="I414" t="inlineStr">
        <is>
          <t xml:space="preserve">полиэстер 100%</t>
        </is>
      </c>
      <c r="J414"/>
      <c r="K414" t="inlineStr">
        <is>
          <t xml:space="preserve">Бангладеш</t>
        </is>
      </c>
      <c r="L414" t="inlineStr">
        <is>
          <t xml:space="preserve">6206400000</t>
        </is>
      </c>
      <c r="M414" t="inlineStr">
        <is>
          <t xml:space="preserve">Декларация № ЕАЭС № BY/112 11.01. ТР017 122.01 08246, до 19.04.2028</t>
        </is>
      </c>
      <c r="N414" t="inlineStr">
        <is>
          <t xml:space="preserve">1 × 30 × 35</t>
        </is>
      </c>
      <c r="O414" t="inlineStr">
        <is>
          <t xml:space="preserve">0,35</t>
        </is>
      </c>
      <c r="P414" t="inlineStr">
        <is>
          <t xml:space="preserve">4816148176714</t>
        </is>
      </c>
      <c r="Q414" s="3" t="str">
        <f>HYPERLINK("https://modify.by/img/93659032/1.webp","фото")</f>
        <v>фото</v>
      </c>
      <c r="R414" s="3" t="str">
        <f>HYPERLINK("https://modify.by/catalog/rubashki/93659032/?utm_source=price&amp;utm_medium=xlsx","открыть")</f>
        <v>открыть</v>
      </c>
    </row>
    <row r="415">
      <c r="A415" t="inlineStr">
        <is>
          <t xml:space="preserve">Женский</t>
        </is>
      </c>
      <c r="B415" t="inlineStr">
        <is>
          <t xml:space="preserve">Рубашки</t>
        </is>
      </c>
      <c r="C415" t="inlineStr">
        <is>
          <t xml:space="preserve">Рубашка оверсайз офисная, молочный</t>
        </is>
      </c>
      <c r="D415" t="inlineStr">
        <is>
          <t xml:space="preserve">SH22W01Молочный</t>
        </is>
      </c>
      <c r="E415" t="inlineStr">
        <is>
          <t xml:space="preserve">молочный</t>
        </is>
      </c>
      <c r="F415" t="inlineStr">
        <is>
          <t xml:space="preserve">50-52</t>
        </is>
      </c>
      <c r="G415">
        <v>2</v>
      </c>
      <c r="H415" s="2">
        <v>25.0</v>
      </c>
      <c r="I415" t="inlineStr">
        <is>
          <t xml:space="preserve">полиэстер 100%</t>
        </is>
      </c>
      <c r="J415"/>
      <c r="K415" t="inlineStr">
        <is>
          <t xml:space="preserve">Бангладеш</t>
        </is>
      </c>
      <c r="L415" t="inlineStr">
        <is>
          <t xml:space="preserve">6206400000</t>
        </is>
      </c>
      <c r="M415" t="inlineStr">
        <is>
          <t xml:space="preserve">Декларация № ЕАЭС № BY/112 11.01. ТР017 122.01 08246, до 19.04.2028</t>
        </is>
      </c>
      <c r="N415" t="inlineStr">
        <is>
          <t xml:space="preserve">1 × 30 × 35</t>
        </is>
      </c>
      <c r="O415" t="inlineStr">
        <is>
          <t xml:space="preserve">0,35</t>
        </is>
      </c>
      <c r="P415" t="inlineStr">
        <is>
          <t xml:space="preserve">2016957037318</t>
        </is>
      </c>
      <c r="Q415" s="3" t="str">
        <f>HYPERLINK("https://modify.by/img/93659032/1.webp","фото")</f>
        <v>фото</v>
      </c>
      <c r="R415" s="3" t="str">
        <f>HYPERLINK("https://modify.by/catalog/rubashki/93659032/?utm_source=price&amp;utm_medium=xlsx","открыть")</f>
        <v>открыть</v>
      </c>
    </row>
    <row r="416">
      <c r="A416" t="inlineStr">
        <is>
          <t xml:space="preserve">Женский</t>
        </is>
      </c>
      <c r="B416" t="inlineStr">
        <is>
          <t xml:space="preserve">Рубашки</t>
        </is>
      </c>
      <c r="C416" t="inlineStr">
        <is>
          <t xml:space="preserve">Рубашка оверсайз офисная, молочный</t>
        </is>
      </c>
      <c r="D416" t="inlineStr">
        <is>
          <t xml:space="preserve">SH22W01Молочный</t>
        </is>
      </c>
      <c r="E416" t="inlineStr">
        <is>
          <t xml:space="preserve">молочный</t>
        </is>
      </c>
      <c r="F416" t="inlineStr">
        <is>
          <t xml:space="preserve">50-52</t>
        </is>
      </c>
      <c r="G416">
        <v>2</v>
      </c>
      <c r="H416" s="2">
        <v>25.0</v>
      </c>
      <c r="I416" t="inlineStr">
        <is>
          <t xml:space="preserve">полиэстер 100%</t>
        </is>
      </c>
      <c r="J416"/>
      <c r="K416" t="inlineStr">
        <is>
          <t xml:space="preserve">Бангладеш</t>
        </is>
      </c>
      <c r="L416" t="inlineStr">
        <is>
          <t xml:space="preserve">6206400000</t>
        </is>
      </c>
      <c r="M416" t="inlineStr">
        <is>
          <t xml:space="preserve">Декларация № ЕАЭС № BY/112 11.01. ТР017 122.01 08246, до 19.04.2028</t>
        </is>
      </c>
      <c r="N416" t="inlineStr">
        <is>
          <t xml:space="preserve">1 × 30 × 35</t>
        </is>
      </c>
      <c r="O416" t="inlineStr">
        <is>
          <t xml:space="preserve">0,35</t>
        </is>
      </c>
      <c r="P416" t="inlineStr">
        <is>
          <t xml:space="preserve">4816148176721</t>
        </is>
      </c>
      <c r="Q416" s="3" t="str">
        <f>HYPERLINK("https://modify.by/img/93659032/1.webp","фото")</f>
        <v>фото</v>
      </c>
      <c r="R416" s="3" t="str">
        <f>HYPERLINK("https://modify.by/catalog/rubashki/93659032/?utm_source=price&amp;utm_medium=xlsx","открыть")</f>
        <v>открыть</v>
      </c>
    </row>
    <row r="417">
      <c r="A417" t="inlineStr">
        <is>
          <t xml:space="preserve">Женский</t>
        </is>
      </c>
      <c r="B417" t="inlineStr">
        <is>
          <t xml:space="preserve">Рубашки</t>
        </is>
      </c>
      <c r="C417" t="inlineStr">
        <is>
          <t xml:space="preserve">Рубашка оверсайз офисная, молочный</t>
        </is>
      </c>
      <c r="D417" t="inlineStr">
        <is>
          <t xml:space="preserve">SH22W01Молочный</t>
        </is>
      </c>
      <c r="E417" t="inlineStr">
        <is>
          <t xml:space="preserve">молочный</t>
        </is>
      </c>
      <c r="F417" t="inlineStr">
        <is>
          <t xml:space="preserve">52-54</t>
        </is>
      </c>
      <c r="G417">
        <v>3</v>
      </c>
      <c r="H417" s="2">
        <v>25.0</v>
      </c>
      <c r="I417" t="inlineStr">
        <is>
          <t xml:space="preserve">полиэстер 100%</t>
        </is>
      </c>
      <c r="J417"/>
      <c r="K417" t="inlineStr">
        <is>
          <t xml:space="preserve">Бангладеш</t>
        </is>
      </c>
      <c r="L417" t="inlineStr">
        <is>
          <t xml:space="preserve">6206400000</t>
        </is>
      </c>
      <c r="M417" t="inlineStr">
        <is>
          <t xml:space="preserve">Декларация № ЕАЭС № BY/112 11.01. ТР017 122.01 08246, до 19.04.2028</t>
        </is>
      </c>
      <c r="N417" t="inlineStr">
        <is>
          <t xml:space="preserve">1 × 30 × 35</t>
        </is>
      </c>
      <c r="O417" t="inlineStr">
        <is>
          <t xml:space="preserve">0,35</t>
        </is>
      </c>
      <c r="P417" t="inlineStr">
        <is>
          <t xml:space="preserve">2016957037301</t>
        </is>
      </c>
      <c r="Q417" s="3" t="str">
        <f>HYPERLINK("https://modify.by/img/93659032/1.webp","фото")</f>
        <v>фото</v>
      </c>
      <c r="R417" s="3" t="str">
        <f>HYPERLINK("https://modify.by/catalog/rubashki/93659032/?utm_source=price&amp;utm_medium=xlsx","открыть")</f>
        <v>открыть</v>
      </c>
    </row>
    <row r="418">
      <c r="A418" t="inlineStr">
        <is>
          <t xml:space="preserve">Женский</t>
        </is>
      </c>
      <c r="B418" t="inlineStr">
        <is>
          <t xml:space="preserve">Рубашки</t>
        </is>
      </c>
      <c r="C418" t="inlineStr">
        <is>
          <t xml:space="preserve">Рубашка оверсайз офисная, молочный</t>
        </is>
      </c>
      <c r="D418" t="inlineStr">
        <is>
          <t xml:space="preserve">SH22W01Молочный</t>
        </is>
      </c>
      <c r="E418" t="inlineStr">
        <is>
          <t xml:space="preserve">молочный</t>
        </is>
      </c>
      <c r="F418" t="inlineStr">
        <is>
          <t xml:space="preserve">52-54</t>
        </is>
      </c>
      <c r="G418">
        <v>3</v>
      </c>
      <c r="H418" s="2">
        <v>25.0</v>
      </c>
      <c r="I418" t="inlineStr">
        <is>
          <t xml:space="preserve">полиэстер 100%</t>
        </is>
      </c>
      <c r="J418"/>
      <c r="K418" t="inlineStr">
        <is>
          <t xml:space="preserve">Бангладеш</t>
        </is>
      </c>
      <c r="L418" t="inlineStr">
        <is>
          <t xml:space="preserve">6206400000</t>
        </is>
      </c>
      <c r="M418" t="inlineStr">
        <is>
          <t xml:space="preserve">Декларация № ЕАЭС № BY/112 11.01. ТР017 122.01 08246, до 19.04.2028</t>
        </is>
      </c>
      <c r="N418" t="inlineStr">
        <is>
          <t xml:space="preserve">1 × 30 × 35</t>
        </is>
      </c>
      <c r="O418" t="inlineStr">
        <is>
          <t xml:space="preserve">0,35</t>
        </is>
      </c>
      <c r="P418" t="inlineStr">
        <is>
          <t xml:space="preserve">4816148176738</t>
        </is>
      </c>
      <c r="Q418" s="3" t="str">
        <f>HYPERLINK("https://modify.by/img/93659032/1.webp","фото")</f>
        <v>фото</v>
      </c>
      <c r="R418" s="3" t="str">
        <f>HYPERLINK("https://modify.by/catalog/rubashki/93659032/?utm_source=price&amp;utm_medium=xlsx","открыть")</f>
        <v>открыть</v>
      </c>
    </row>
    <row r="419">
      <c r="A419" t="inlineStr">
        <is>
          <t xml:space="preserve">Женский</t>
        </is>
      </c>
      <c r="B419" t="inlineStr">
        <is>
          <t xml:space="preserve">Рубашки</t>
        </is>
      </c>
      <c r="C419" t="inlineStr">
        <is>
          <t xml:space="preserve">Рубашка оверсайз офисная, морская волна</t>
        </is>
      </c>
      <c r="D419" t="inlineStr">
        <is>
          <t xml:space="preserve">SH22W01Морскаяволна</t>
        </is>
      </c>
      <c r="E419" t="inlineStr">
        <is>
          <t xml:space="preserve">морская волна</t>
        </is>
      </c>
      <c r="F419" t="inlineStr">
        <is>
          <t xml:space="preserve">44-46</t>
        </is>
      </c>
      <c r="G419">
        <v>2</v>
      </c>
      <c r="H419" s="2">
        <v>25.0</v>
      </c>
      <c r="I419" t="inlineStr">
        <is>
          <t xml:space="preserve">полиэстер 100%</t>
        </is>
      </c>
      <c r="J419"/>
      <c r="K419" t="inlineStr">
        <is>
          <t xml:space="preserve">Бангладеш</t>
        </is>
      </c>
      <c r="L419" t="inlineStr">
        <is>
          <t xml:space="preserve">6206400000</t>
        </is>
      </c>
      <c r="M419" t="inlineStr">
        <is>
          <t xml:space="preserve">Декларация № ЕАЭС № BY/112 11.01. ТР017 122.01 08246, до 19.04.2028</t>
        </is>
      </c>
      <c r="N419" t="inlineStr">
        <is>
          <t xml:space="preserve">1 × 30 × 35</t>
        </is>
      </c>
      <c r="O419" t="inlineStr">
        <is>
          <t xml:space="preserve">0,35</t>
        </is>
      </c>
      <c r="P419" t="inlineStr">
        <is>
          <t xml:space="preserve">2016957037486</t>
        </is>
      </c>
      <c r="Q419" s="3" t="str">
        <f>HYPERLINK("https://modify.by/img/93659035/1.webp","фото")</f>
        <v>фото</v>
      </c>
      <c r="R419" s="3" t="str">
        <f>HYPERLINK("https://modify.by/catalog/rubashki/93659035/?utm_source=price&amp;utm_medium=xlsx","открыть")</f>
        <v>открыть</v>
      </c>
    </row>
    <row r="420">
      <c r="A420" t="inlineStr">
        <is>
          <t xml:space="preserve">Женский</t>
        </is>
      </c>
      <c r="B420" t="inlineStr">
        <is>
          <t xml:space="preserve">Рубашки</t>
        </is>
      </c>
      <c r="C420" t="inlineStr">
        <is>
          <t xml:space="preserve">Рубашка оверсайз офисная, морская волна</t>
        </is>
      </c>
      <c r="D420" t="inlineStr">
        <is>
          <t xml:space="preserve">SH22W01Морскаяволна</t>
        </is>
      </c>
      <c r="E420" t="inlineStr">
        <is>
          <t xml:space="preserve">морская волна</t>
        </is>
      </c>
      <c r="F420" t="inlineStr">
        <is>
          <t xml:space="preserve">44-46</t>
        </is>
      </c>
      <c r="G420">
        <v>2</v>
      </c>
      <c r="H420" s="2">
        <v>25.0</v>
      </c>
      <c r="I420" t="inlineStr">
        <is>
          <t xml:space="preserve">полиэстер 100%</t>
        </is>
      </c>
      <c r="J420"/>
      <c r="K420" t="inlineStr">
        <is>
          <t xml:space="preserve">Бангладеш</t>
        </is>
      </c>
      <c r="L420" t="inlineStr">
        <is>
          <t xml:space="preserve">6206400000</t>
        </is>
      </c>
      <c r="M420" t="inlineStr">
        <is>
          <t xml:space="preserve">Декларация № ЕАЭС № BY/112 11.01. ТР017 122.01 08246, до 19.04.2028</t>
        </is>
      </c>
      <c r="N420" t="inlineStr">
        <is>
          <t xml:space="preserve">1 × 30 × 35</t>
        </is>
      </c>
      <c r="O420" t="inlineStr">
        <is>
          <t xml:space="preserve">0,35</t>
        </is>
      </c>
      <c r="P420" t="inlineStr">
        <is>
          <t xml:space="preserve">4816148176752</t>
        </is>
      </c>
      <c r="Q420" s="3" t="str">
        <f>HYPERLINK("https://modify.by/img/93659035/1.webp","фото")</f>
        <v>фото</v>
      </c>
      <c r="R420" s="3" t="str">
        <f>HYPERLINK("https://modify.by/catalog/rubashki/93659035/?utm_source=price&amp;utm_medium=xlsx","открыть")</f>
        <v>открыть</v>
      </c>
    </row>
    <row r="421">
      <c r="A421" t="inlineStr">
        <is>
          <t xml:space="preserve">Женский</t>
        </is>
      </c>
      <c r="B421" t="inlineStr">
        <is>
          <t xml:space="preserve">Рубашки</t>
        </is>
      </c>
      <c r="C421" t="inlineStr">
        <is>
          <t xml:space="preserve">Рубашка оверсайз офисная, морская волна</t>
        </is>
      </c>
      <c r="D421" t="inlineStr">
        <is>
          <t xml:space="preserve">SH22W01Морскаяволна</t>
        </is>
      </c>
      <c r="E421" t="inlineStr">
        <is>
          <t xml:space="preserve">морская волна</t>
        </is>
      </c>
      <c r="F421" t="inlineStr">
        <is>
          <t xml:space="preserve">46-48</t>
        </is>
      </c>
      <c r="G421">
        <v>2</v>
      </c>
      <c r="H421" s="2">
        <v>25.0</v>
      </c>
      <c r="I421" t="inlineStr">
        <is>
          <t xml:space="preserve">полиэстер 100%</t>
        </is>
      </c>
      <c r="J421"/>
      <c r="K421" t="inlineStr">
        <is>
          <t xml:space="preserve">Бангладеш</t>
        </is>
      </c>
      <c r="L421" t="inlineStr">
        <is>
          <t xml:space="preserve">6206400000</t>
        </is>
      </c>
      <c r="M421" t="inlineStr">
        <is>
          <t xml:space="preserve">Декларация № ЕАЭС № BY/112 11.01. ТР017 122.01 08246, до 19.04.2028</t>
        </is>
      </c>
      <c r="N421" t="inlineStr">
        <is>
          <t xml:space="preserve">1 × 30 × 35</t>
        </is>
      </c>
      <c r="O421" t="inlineStr">
        <is>
          <t xml:space="preserve">0,35</t>
        </is>
      </c>
      <c r="P421" t="inlineStr">
        <is>
          <t xml:space="preserve">2016957037479</t>
        </is>
      </c>
      <c r="Q421" s="3" t="str">
        <f>HYPERLINK("https://modify.by/img/93659035/1.webp","фото")</f>
        <v>фото</v>
      </c>
      <c r="R421" s="3" t="str">
        <f>HYPERLINK("https://modify.by/catalog/rubashki/93659035/?utm_source=price&amp;utm_medium=xlsx","открыть")</f>
        <v>открыть</v>
      </c>
    </row>
    <row r="422">
      <c r="A422" t="inlineStr">
        <is>
          <t xml:space="preserve">Женский</t>
        </is>
      </c>
      <c r="B422" t="inlineStr">
        <is>
          <t xml:space="preserve">Рубашки</t>
        </is>
      </c>
      <c r="C422" t="inlineStr">
        <is>
          <t xml:space="preserve">Рубашка оверсайз офисная, морская волна</t>
        </is>
      </c>
      <c r="D422" t="inlineStr">
        <is>
          <t xml:space="preserve">SH22W01Морскаяволна</t>
        </is>
      </c>
      <c r="E422" t="inlineStr">
        <is>
          <t xml:space="preserve">морская волна</t>
        </is>
      </c>
      <c r="F422" t="inlineStr">
        <is>
          <t xml:space="preserve">46-48</t>
        </is>
      </c>
      <c r="G422">
        <v>2</v>
      </c>
      <c r="H422" s="2">
        <v>25.0</v>
      </c>
      <c r="I422" t="inlineStr">
        <is>
          <t xml:space="preserve">полиэстер 100%</t>
        </is>
      </c>
      <c r="J422"/>
      <c r="K422" t="inlineStr">
        <is>
          <t xml:space="preserve">Бангладеш</t>
        </is>
      </c>
      <c r="L422" t="inlineStr">
        <is>
          <t xml:space="preserve">6206400000</t>
        </is>
      </c>
      <c r="M422" t="inlineStr">
        <is>
          <t xml:space="preserve">Декларация № ЕАЭС № BY/112 11.01. ТР017 122.01 08246, до 19.04.2028</t>
        </is>
      </c>
      <c r="N422" t="inlineStr">
        <is>
          <t xml:space="preserve">1 × 30 × 35</t>
        </is>
      </c>
      <c r="O422" t="inlineStr">
        <is>
          <t xml:space="preserve">0,35</t>
        </is>
      </c>
      <c r="P422" t="inlineStr">
        <is>
          <t xml:space="preserve">4816148176769</t>
        </is>
      </c>
      <c r="Q422" s="3" t="str">
        <f>HYPERLINK("https://modify.by/img/93659035/1.webp","фото")</f>
        <v>фото</v>
      </c>
      <c r="R422" s="3" t="str">
        <f>HYPERLINK("https://modify.by/catalog/rubashki/93659035/?utm_source=price&amp;utm_medium=xlsx","открыть")</f>
        <v>открыть</v>
      </c>
    </row>
    <row r="423">
      <c r="A423" t="inlineStr">
        <is>
          <t xml:space="preserve">Женский</t>
        </is>
      </c>
      <c r="B423" t="inlineStr">
        <is>
          <t xml:space="preserve">Рубашки</t>
        </is>
      </c>
      <c r="C423" t="inlineStr">
        <is>
          <t xml:space="preserve">Рубашка оверсайз офисная, морская волна</t>
        </is>
      </c>
      <c r="D423" t="inlineStr">
        <is>
          <t xml:space="preserve">SH22W01Морскаяволна</t>
        </is>
      </c>
      <c r="E423" t="inlineStr">
        <is>
          <t xml:space="preserve">морская волна</t>
        </is>
      </c>
      <c r="F423" t="inlineStr">
        <is>
          <t xml:space="preserve">48-50</t>
        </is>
      </c>
      <c r="G423">
        <v>1</v>
      </c>
      <c r="H423" s="2">
        <v>25.0</v>
      </c>
      <c r="I423" t="inlineStr">
        <is>
          <t xml:space="preserve">полиэстер 100%</t>
        </is>
      </c>
      <c r="J423"/>
      <c r="K423" t="inlineStr">
        <is>
          <t xml:space="preserve">Бангладеш</t>
        </is>
      </c>
      <c r="L423" t="inlineStr">
        <is>
          <t xml:space="preserve">6206400000</t>
        </is>
      </c>
      <c r="M423" t="inlineStr">
        <is>
          <t xml:space="preserve">Декларация № ЕАЭС № BY/112 11.01. ТР017 122.01 08246, до 19.04.2028</t>
        </is>
      </c>
      <c r="N423" t="inlineStr">
        <is>
          <t xml:space="preserve">1 × 30 × 35</t>
        </is>
      </c>
      <c r="O423" t="inlineStr">
        <is>
          <t xml:space="preserve">0,35</t>
        </is>
      </c>
      <c r="P423" t="inlineStr">
        <is>
          <t xml:space="preserve">2016957037462</t>
        </is>
      </c>
      <c r="Q423" s="3" t="str">
        <f>HYPERLINK("https://modify.by/img/93659035/1.webp","фото")</f>
        <v>фото</v>
      </c>
      <c r="R423" s="3" t="str">
        <f>HYPERLINK("https://modify.by/catalog/rubashki/93659035/?utm_source=price&amp;utm_medium=xlsx","открыть")</f>
        <v>открыть</v>
      </c>
    </row>
    <row r="424">
      <c r="A424" t="inlineStr">
        <is>
          <t xml:space="preserve">Женский</t>
        </is>
      </c>
      <c r="B424" t="inlineStr">
        <is>
          <t xml:space="preserve">Рубашки</t>
        </is>
      </c>
      <c r="C424" t="inlineStr">
        <is>
          <t xml:space="preserve">Рубашка оверсайз офисная, морская волна</t>
        </is>
      </c>
      <c r="D424" t="inlineStr">
        <is>
          <t xml:space="preserve">SH22W01Морскаяволна</t>
        </is>
      </c>
      <c r="E424" t="inlineStr">
        <is>
          <t xml:space="preserve">морская волна</t>
        </is>
      </c>
      <c r="F424" t="inlineStr">
        <is>
          <t xml:space="preserve">48-50</t>
        </is>
      </c>
      <c r="G424">
        <v>1</v>
      </c>
      <c r="H424" s="2">
        <v>25.0</v>
      </c>
      <c r="I424" t="inlineStr">
        <is>
          <t xml:space="preserve">полиэстер 100%</t>
        </is>
      </c>
      <c r="J424"/>
      <c r="K424" t="inlineStr">
        <is>
          <t xml:space="preserve">Бангладеш</t>
        </is>
      </c>
      <c r="L424" t="inlineStr">
        <is>
          <t xml:space="preserve">6206400000</t>
        </is>
      </c>
      <c r="M424" t="inlineStr">
        <is>
          <t xml:space="preserve">Декларация № ЕАЭС № BY/112 11.01. ТР017 122.01 08246, до 19.04.2028</t>
        </is>
      </c>
      <c r="N424" t="inlineStr">
        <is>
          <t xml:space="preserve">1 × 30 × 35</t>
        </is>
      </c>
      <c r="O424" t="inlineStr">
        <is>
          <t xml:space="preserve">0,35</t>
        </is>
      </c>
      <c r="P424" t="inlineStr">
        <is>
          <t xml:space="preserve">4816148176776</t>
        </is>
      </c>
      <c r="Q424" s="3" t="str">
        <f>HYPERLINK("https://modify.by/img/93659035/1.webp","фото")</f>
        <v>фото</v>
      </c>
      <c r="R424" s="3" t="str">
        <f>HYPERLINK("https://modify.by/catalog/rubashki/93659035/?utm_source=price&amp;utm_medium=xlsx","открыть")</f>
        <v>открыть</v>
      </c>
    </row>
    <row r="425">
      <c r="A425" t="inlineStr">
        <is>
          <t xml:space="preserve">Женский</t>
        </is>
      </c>
      <c r="B425" t="inlineStr">
        <is>
          <t xml:space="preserve">Рубашки</t>
        </is>
      </c>
      <c r="C425" t="inlineStr">
        <is>
          <t xml:space="preserve">Рубашка оверсайз офисная, морская волна</t>
        </is>
      </c>
      <c r="D425" t="inlineStr">
        <is>
          <t xml:space="preserve">SH22W01Морскаяволна</t>
        </is>
      </c>
      <c r="E425" t="inlineStr">
        <is>
          <t xml:space="preserve">морская волна</t>
        </is>
      </c>
      <c r="F425" t="inlineStr">
        <is>
          <t xml:space="preserve">50-52</t>
        </is>
      </c>
      <c r="G425">
        <v>1</v>
      </c>
      <c r="H425" s="2">
        <v>25.0</v>
      </c>
      <c r="I425" t="inlineStr">
        <is>
          <t xml:space="preserve">полиэстер 100%</t>
        </is>
      </c>
      <c r="J425"/>
      <c r="K425" t="inlineStr">
        <is>
          <t xml:space="preserve">Бангладеш</t>
        </is>
      </c>
      <c r="L425" t="inlineStr">
        <is>
          <t xml:space="preserve">6206400000</t>
        </is>
      </c>
      <c r="M425" t="inlineStr">
        <is>
          <t xml:space="preserve">Декларация № ЕАЭС № BY/112 11.01. ТР017 122.01 08246, до 19.04.2028</t>
        </is>
      </c>
      <c r="N425" t="inlineStr">
        <is>
          <t xml:space="preserve">1 × 30 × 35</t>
        </is>
      </c>
      <c r="O425" t="inlineStr">
        <is>
          <t xml:space="preserve">0,35</t>
        </is>
      </c>
      <c r="P425" t="inlineStr">
        <is>
          <t xml:space="preserve">2016957037455</t>
        </is>
      </c>
      <c r="Q425" s="3" t="str">
        <f>HYPERLINK("https://modify.by/img/93659035/1.webp","фото")</f>
        <v>фото</v>
      </c>
      <c r="R425" s="3" t="str">
        <f>HYPERLINK("https://modify.by/catalog/rubashki/93659035/?utm_source=price&amp;utm_medium=xlsx","открыть")</f>
        <v>открыть</v>
      </c>
    </row>
    <row r="426">
      <c r="A426" t="inlineStr">
        <is>
          <t xml:space="preserve">Женский</t>
        </is>
      </c>
      <c r="B426" t="inlineStr">
        <is>
          <t xml:space="preserve">Рубашки</t>
        </is>
      </c>
      <c r="C426" t="inlineStr">
        <is>
          <t xml:space="preserve">Рубашка оверсайз офисная, морская волна</t>
        </is>
      </c>
      <c r="D426" t="inlineStr">
        <is>
          <t xml:space="preserve">SH22W01Морскаяволна</t>
        </is>
      </c>
      <c r="E426" t="inlineStr">
        <is>
          <t xml:space="preserve">морская волна</t>
        </is>
      </c>
      <c r="F426" t="inlineStr">
        <is>
          <t xml:space="preserve">50-52</t>
        </is>
      </c>
      <c r="G426">
        <v>1</v>
      </c>
      <c r="H426" s="2">
        <v>25.0</v>
      </c>
      <c r="I426" t="inlineStr">
        <is>
          <t xml:space="preserve">полиэстер 100%</t>
        </is>
      </c>
      <c r="J426"/>
      <c r="K426" t="inlineStr">
        <is>
          <t xml:space="preserve">Бангладеш</t>
        </is>
      </c>
      <c r="L426" t="inlineStr">
        <is>
          <t xml:space="preserve">6206400000</t>
        </is>
      </c>
      <c r="M426" t="inlineStr">
        <is>
          <t xml:space="preserve">Декларация № ЕАЭС № BY/112 11.01. ТР017 122.01 08246, до 19.04.2028</t>
        </is>
      </c>
      <c r="N426" t="inlineStr">
        <is>
          <t xml:space="preserve">1 × 30 × 35</t>
        </is>
      </c>
      <c r="O426" t="inlineStr">
        <is>
          <t xml:space="preserve">0,35</t>
        </is>
      </c>
      <c r="P426" t="inlineStr">
        <is>
          <t xml:space="preserve">4816148176783</t>
        </is>
      </c>
      <c r="Q426" s="3" t="str">
        <f>HYPERLINK("https://modify.by/img/93659035/1.webp","фото")</f>
        <v>фото</v>
      </c>
      <c r="R426" s="3" t="str">
        <f>HYPERLINK("https://modify.by/catalog/rubashki/93659035/?utm_source=price&amp;utm_medium=xlsx","открыть")</f>
        <v>открыть</v>
      </c>
    </row>
    <row r="427">
      <c r="A427" t="inlineStr">
        <is>
          <t xml:space="preserve">Женский</t>
        </is>
      </c>
      <c r="B427" t="inlineStr">
        <is>
          <t xml:space="preserve">Рубашки</t>
        </is>
      </c>
      <c r="C427" t="inlineStr">
        <is>
          <t xml:space="preserve">Рубашка оверсайз офисная, морская волна</t>
        </is>
      </c>
      <c r="D427" t="inlineStr">
        <is>
          <t xml:space="preserve">SH22W01Морскаяволна</t>
        </is>
      </c>
      <c r="E427" t="inlineStr">
        <is>
          <t xml:space="preserve">морская волна</t>
        </is>
      </c>
      <c r="F427" t="inlineStr">
        <is>
          <t xml:space="preserve">52-54</t>
        </is>
      </c>
      <c r="G427">
        <v>2</v>
      </c>
      <c r="H427" s="2">
        <v>25.0</v>
      </c>
      <c r="I427" t="inlineStr">
        <is>
          <t xml:space="preserve">полиэстер 100%</t>
        </is>
      </c>
      <c r="J427"/>
      <c r="K427" t="inlineStr">
        <is>
          <t xml:space="preserve">Бангладеш</t>
        </is>
      </c>
      <c r="L427" t="inlineStr">
        <is>
          <t xml:space="preserve">6206400000</t>
        </is>
      </c>
      <c r="M427" t="inlineStr">
        <is>
          <t xml:space="preserve">Декларация № ЕАЭС № BY/112 11.01. ТР017 122.01 08246, до 19.04.2028</t>
        </is>
      </c>
      <c r="N427" t="inlineStr">
        <is>
          <t xml:space="preserve">1 × 30 × 35</t>
        </is>
      </c>
      <c r="O427" t="inlineStr">
        <is>
          <t xml:space="preserve">0,35</t>
        </is>
      </c>
      <c r="P427" t="inlineStr">
        <is>
          <t xml:space="preserve">2016957037448</t>
        </is>
      </c>
      <c r="Q427" s="3" t="str">
        <f>HYPERLINK("https://modify.by/img/93659035/1.webp","фото")</f>
        <v>фото</v>
      </c>
      <c r="R427" s="3" t="str">
        <f>HYPERLINK("https://modify.by/catalog/rubashki/93659035/?utm_source=price&amp;utm_medium=xlsx","открыть")</f>
        <v>открыть</v>
      </c>
    </row>
    <row r="428">
      <c r="A428" t="inlineStr">
        <is>
          <t xml:space="preserve">Женский</t>
        </is>
      </c>
      <c r="B428" t="inlineStr">
        <is>
          <t xml:space="preserve">Рубашки</t>
        </is>
      </c>
      <c r="C428" t="inlineStr">
        <is>
          <t xml:space="preserve">Рубашка оверсайз офисная, морская волна</t>
        </is>
      </c>
      <c r="D428" t="inlineStr">
        <is>
          <t xml:space="preserve">SH22W01Морскаяволна</t>
        </is>
      </c>
      <c r="E428" t="inlineStr">
        <is>
          <t xml:space="preserve">морская волна</t>
        </is>
      </c>
      <c r="F428" t="inlineStr">
        <is>
          <t xml:space="preserve">52-54</t>
        </is>
      </c>
      <c r="G428">
        <v>2</v>
      </c>
      <c r="H428" s="2">
        <v>25.0</v>
      </c>
      <c r="I428" t="inlineStr">
        <is>
          <t xml:space="preserve">полиэстер 100%</t>
        </is>
      </c>
      <c r="J428"/>
      <c r="K428" t="inlineStr">
        <is>
          <t xml:space="preserve">Бангладеш</t>
        </is>
      </c>
      <c r="L428" t="inlineStr">
        <is>
          <t xml:space="preserve">6206400000</t>
        </is>
      </c>
      <c r="M428" t="inlineStr">
        <is>
          <t xml:space="preserve">Декларация № ЕАЭС № BY/112 11.01. ТР017 122.01 08246, до 19.04.2028</t>
        </is>
      </c>
      <c r="N428" t="inlineStr">
        <is>
          <t xml:space="preserve">1 × 30 × 35</t>
        </is>
      </c>
      <c r="O428" t="inlineStr">
        <is>
          <t xml:space="preserve">0,35</t>
        </is>
      </c>
      <c r="P428" t="inlineStr">
        <is>
          <t xml:space="preserve">4816148176790</t>
        </is>
      </c>
      <c r="Q428" s="3" t="str">
        <f>HYPERLINK("https://modify.by/img/93659035/1.webp","фото")</f>
        <v>фото</v>
      </c>
      <c r="R428" s="3" t="str">
        <f>HYPERLINK("https://modify.by/catalog/rubashki/93659035/?utm_source=price&amp;utm_medium=xlsx","открыть")</f>
        <v>открыть</v>
      </c>
    </row>
    <row r="429">
      <c r="A429" t="inlineStr">
        <is>
          <t xml:space="preserve">Женский</t>
        </is>
      </c>
      <c r="B429" t="inlineStr">
        <is>
          <t xml:space="preserve">Рубашки</t>
        </is>
      </c>
      <c r="C429" t="inlineStr">
        <is>
          <t xml:space="preserve">Рубашка оверсайз офисная, черный</t>
        </is>
      </c>
      <c r="D429" t="inlineStr">
        <is>
          <t xml:space="preserve">SH22W01Черный</t>
        </is>
      </c>
      <c r="E429" t="inlineStr">
        <is>
          <t xml:space="preserve">черный</t>
        </is>
      </c>
      <c r="F429" t="inlineStr">
        <is>
          <t xml:space="preserve">54</t>
        </is>
      </c>
      <c r="G429">
        <v>1</v>
      </c>
      <c r="H429" s="2">
        <v>25.0</v>
      </c>
      <c r="I429" t="inlineStr">
        <is>
          <t xml:space="preserve">полиэстер 100%</t>
        </is>
      </c>
      <c r="J429"/>
      <c r="K429" t="inlineStr">
        <is>
          <t xml:space="preserve">Бангладеш</t>
        </is>
      </c>
      <c r="L429" t="inlineStr">
        <is>
          <t xml:space="preserve">6206400000</t>
        </is>
      </c>
      <c r="M429" t="inlineStr">
        <is>
          <t xml:space="preserve">Декларация № ЕАЭС № BY/112 11.01. ТР017 122.01 08246, до 19.04.2028</t>
        </is>
      </c>
      <c r="N429" t="inlineStr">
        <is>
          <t xml:space="preserve">1 × 30 × 35</t>
        </is>
      </c>
      <c r="O429" t="inlineStr">
        <is>
          <t xml:space="preserve">0,35</t>
        </is>
      </c>
      <c r="P429" t="inlineStr">
        <is>
          <t xml:space="preserve">2016957037226</t>
        </is>
      </c>
      <c r="Q429" s="3" t="str">
        <f>HYPERLINK("https://modify.by/img/93659034/1.webp","фото")</f>
        <v>фото</v>
      </c>
      <c r="R429" s="3" t="str">
        <f>HYPERLINK("https://modify.by/catalog/rubashki/93659034/?utm_source=price&amp;utm_medium=xlsx","открыть")</f>
        <v>открыть</v>
      </c>
    </row>
    <row r="430">
      <c r="A430" t="inlineStr">
        <is>
          <t xml:space="preserve">Женский</t>
        </is>
      </c>
      <c r="B430" t="inlineStr">
        <is>
          <t xml:space="preserve">Рубашки</t>
        </is>
      </c>
      <c r="C430" t="inlineStr">
        <is>
          <t xml:space="preserve">Рубашка оверсайз офисная, черный</t>
        </is>
      </c>
      <c r="D430" t="inlineStr">
        <is>
          <t xml:space="preserve">SH22W01Черный</t>
        </is>
      </c>
      <c r="E430" t="inlineStr">
        <is>
          <t xml:space="preserve">черный</t>
        </is>
      </c>
      <c r="F430" t="inlineStr">
        <is>
          <t xml:space="preserve">54</t>
        </is>
      </c>
      <c r="G430">
        <v>1</v>
      </c>
      <c r="H430" s="2">
        <v>25.0</v>
      </c>
      <c r="I430" t="inlineStr">
        <is>
          <t xml:space="preserve">полиэстер 100%</t>
        </is>
      </c>
      <c r="J430"/>
      <c r="K430" t="inlineStr">
        <is>
          <t xml:space="preserve">Бангладеш</t>
        </is>
      </c>
      <c r="L430" t="inlineStr">
        <is>
          <t xml:space="preserve">6206400000</t>
        </is>
      </c>
      <c r="M430" t="inlineStr">
        <is>
          <t xml:space="preserve">Декларация № ЕАЭС № BY/112 11.01. ТР017 122.01 08246, до 19.04.2028</t>
        </is>
      </c>
      <c r="N430" t="inlineStr">
        <is>
          <t xml:space="preserve">1 × 30 × 35</t>
        </is>
      </c>
      <c r="O430" t="inlineStr">
        <is>
          <t xml:space="preserve">0,35</t>
        </is>
      </c>
      <c r="P430" t="inlineStr">
        <is>
          <t xml:space="preserve">4816148176844</t>
        </is>
      </c>
      <c r="Q430" s="3" t="str">
        <f>HYPERLINK("https://modify.by/img/93659034/1.webp","фото")</f>
        <v>фото</v>
      </c>
      <c r="R430" s="3" t="str">
        <f>HYPERLINK("https://modify.by/catalog/rubashki/93659034/?utm_source=price&amp;utm_medium=xlsx","открыть")</f>
        <v>открыть</v>
      </c>
    </row>
    <row r="431">
      <c r="A431" t="inlineStr">
        <is>
          <t xml:space="preserve">Женский</t>
        </is>
      </c>
      <c r="B431" t="inlineStr">
        <is>
          <t xml:space="preserve">Рубашки</t>
        </is>
      </c>
      <c r="C431" t="inlineStr">
        <is>
          <t xml:space="preserve">Рубашка оверсайз офисная, черный</t>
        </is>
      </c>
      <c r="D431" t="inlineStr">
        <is>
          <t xml:space="preserve">SH22W01Черный</t>
        </is>
      </c>
      <c r="E431" t="inlineStr">
        <is>
          <t xml:space="preserve">черный</t>
        </is>
      </c>
      <c r="F431" t="inlineStr">
        <is>
          <t xml:space="preserve">46-48</t>
        </is>
      </c>
      <c r="G431">
        <v>1</v>
      </c>
      <c r="H431" s="2">
        <v>25.0</v>
      </c>
      <c r="I431" t="inlineStr">
        <is>
          <t xml:space="preserve">полиэстер 100%</t>
        </is>
      </c>
      <c r="J431"/>
      <c r="K431" t="inlineStr">
        <is>
          <t xml:space="preserve">Бангладеш</t>
        </is>
      </c>
      <c r="L431" t="inlineStr">
        <is>
          <t xml:space="preserve">6206400000</t>
        </is>
      </c>
      <c r="M431" t="inlineStr">
        <is>
          <t xml:space="preserve">Декларация № ЕАЭС № BY/112 11.01. ТР017 122.01 08246, до 19.04.2028</t>
        </is>
      </c>
      <c r="N431" t="inlineStr">
        <is>
          <t xml:space="preserve">1 × 30 × 35</t>
        </is>
      </c>
      <c r="O431" t="inlineStr">
        <is>
          <t xml:space="preserve">0,35</t>
        </is>
      </c>
      <c r="P431" t="inlineStr">
        <is>
          <t xml:space="preserve">2016957037264</t>
        </is>
      </c>
      <c r="Q431" s="3" t="str">
        <f>HYPERLINK("https://modify.by/img/93659034/1.webp","фото")</f>
        <v>фото</v>
      </c>
      <c r="R431" s="3" t="str">
        <f>HYPERLINK("https://modify.by/catalog/rubashki/93659034/?utm_source=price&amp;utm_medium=xlsx","открыть")</f>
        <v>открыть</v>
      </c>
    </row>
    <row r="432">
      <c r="A432" t="inlineStr">
        <is>
          <t xml:space="preserve">Женский</t>
        </is>
      </c>
      <c r="B432" t="inlineStr">
        <is>
          <t xml:space="preserve">Рубашки</t>
        </is>
      </c>
      <c r="C432" t="inlineStr">
        <is>
          <t xml:space="preserve">Рубашка оверсайз офисная, черный</t>
        </is>
      </c>
      <c r="D432" t="inlineStr">
        <is>
          <t xml:space="preserve">SH22W01Черный</t>
        </is>
      </c>
      <c r="E432" t="inlineStr">
        <is>
          <t xml:space="preserve">черный</t>
        </is>
      </c>
      <c r="F432" t="inlineStr">
        <is>
          <t xml:space="preserve">46-48</t>
        </is>
      </c>
      <c r="G432">
        <v>1</v>
      </c>
      <c r="H432" s="2">
        <v>25.0</v>
      </c>
      <c r="I432" t="inlineStr">
        <is>
          <t xml:space="preserve">полиэстер 100%</t>
        </is>
      </c>
      <c r="J432"/>
      <c r="K432" t="inlineStr">
        <is>
          <t xml:space="preserve">Бангладеш</t>
        </is>
      </c>
      <c r="L432" t="inlineStr">
        <is>
          <t xml:space="preserve">6206400000</t>
        </is>
      </c>
      <c r="M432" t="inlineStr">
        <is>
          <t xml:space="preserve">Декларация № ЕАЭС № BY/112 11.01. ТР017 122.01 08246, до 19.04.2028</t>
        </is>
      </c>
      <c r="N432" t="inlineStr">
        <is>
          <t xml:space="preserve">1 × 30 × 35</t>
        </is>
      </c>
      <c r="O432" t="inlineStr">
        <is>
          <t xml:space="preserve">0,35</t>
        </is>
      </c>
      <c r="P432" t="inlineStr">
        <is>
          <t xml:space="preserve">4816148176806</t>
        </is>
      </c>
      <c r="Q432" s="3" t="str">
        <f>HYPERLINK("https://modify.by/img/93659034/1.webp","фото")</f>
        <v>фото</v>
      </c>
      <c r="R432" s="3" t="str">
        <f>HYPERLINK("https://modify.by/catalog/rubashki/93659034/?utm_source=price&amp;utm_medium=xlsx","открыть")</f>
        <v>открыть</v>
      </c>
    </row>
    <row r="433">
      <c r="A433" t="inlineStr">
        <is>
          <t xml:space="preserve">Женский</t>
        </is>
      </c>
      <c r="B433" t="inlineStr">
        <is>
          <t xml:space="preserve">Рубашки</t>
        </is>
      </c>
      <c r="C433" t="inlineStr">
        <is>
          <t xml:space="preserve">Рубашка оверсайз офисная, черный</t>
        </is>
      </c>
      <c r="D433" t="inlineStr">
        <is>
          <t xml:space="preserve">SH22W01Черный</t>
        </is>
      </c>
      <c r="E433" t="inlineStr">
        <is>
          <t xml:space="preserve">черный</t>
        </is>
      </c>
      <c r="F433" t="inlineStr">
        <is>
          <t xml:space="preserve">48-50</t>
        </is>
      </c>
      <c r="G433">
        <v>1</v>
      </c>
      <c r="H433" s="2">
        <v>25.0</v>
      </c>
      <c r="I433" t="inlineStr">
        <is>
          <t xml:space="preserve">полиэстер 100%</t>
        </is>
      </c>
      <c r="J433"/>
      <c r="K433" t="inlineStr">
        <is>
          <t xml:space="preserve">Бангладеш</t>
        </is>
      </c>
      <c r="L433" t="inlineStr">
        <is>
          <t xml:space="preserve">6206400000</t>
        </is>
      </c>
      <c r="M433" t="inlineStr">
        <is>
          <t xml:space="preserve">Декларация № ЕАЭС № BY/112 11.01. ТР017 122.01 08246, до 19.04.2028</t>
        </is>
      </c>
      <c r="N433" t="inlineStr">
        <is>
          <t xml:space="preserve">1 × 30 × 35</t>
        </is>
      </c>
      <c r="O433" t="inlineStr">
        <is>
          <t xml:space="preserve">0,35</t>
        </is>
      </c>
      <c r="P433" t="inlineStr">
        <is>
          <t xml:space="preserve">2016957037257</t>
        </is>
      </c>
      <c r="Q433" s="3" t="str">
        <f>HYPERLINK("https://modify.by/img/93659034/1.webp","фото")</f>
        <v>фото</v>
      </c>
      <c r="R433" s="3" t="str">
        <f>HYPERLINK("https://modify.by/catalog/rubashki/93659034/?utm_source=price&amp;utm_medium=xlsx","открыть")</f>
        <v>открыть</v>
      </c>
    </row>
    <row r="434">
      <c r="A434" t="inlineStr">
        <is>
          <t xml:space="preserve">Женский</t>
        </is>
      </c>
      <c r="B434" t="inlineStr">
        <is>
          <t xml:space="preserve">Рубашки</t>
        </is>
      </c>
      <c r="C434" t="inlineStr">
        <is>
          <t xml:space="preserve">Рубашка оверсайз офисная, черный</t>
        </is>
      </c>
      <c r="D434" t="inlineStr">
        <is>
          <t xml:space="preserve">SH22W01Черный</t>
        </is>
      </c>
      <c r="E434" t="inlineStr">
        <is>
          <t xml:space="preserve">черный</t>
        </is>
      </c>
      <c r="F434" t="inlineStr">
        <is>
          <t xml:space="preserve">48-50</t>
        </is>
      </c>
      <c r="G434">
        <v>1</v>
      </c>
      <c r="H434" s="2">
        <v>25.0</v>
      </c>
      <c r="I434" t="inlineStr">
        <is>
          <t xml:space="preserve">полиэстер 100%</t>
        </is>
      </c>
      <c r="J434"/>
      <c r="K434" t="inlineStr">
        <is>
          <t xml:space="preserve">Бангладеш</t>
        </is>
      </c>
      <c r="L434" t="inlineStr">
        <is>
          <t xml:space="preserve">6206400000</t>
        </is>
      </c>
      <c r="M434" t="inlineStr">
        <is>
          <t xml:space="preserve">Декларация № ЕАЭС № BY/112 11.01. ТР017 122.01 08246, до 19.04.2028</t>
        </is>
      </c>
      <c r="N434" t="inlineStr">
        <is>
          <t xml:space="preserve">1 × 30 × 35</t>
        </is>
      </c>
      <c r="O434" t="inlineStr">
        <is>
          <t xml:space="preserve">0,35</t>
        </is>
      </c>
      <c r="P434" t="inlineStr">
        <is>
          <t xml:space="preserve">4816148176813</t>
        </is>
      </c>
      <c r="Q434" s="3" t="str">
        <f>HYPERLINK("https://modify.by/img/93659034/1.webp","фото")</f>
        <v>фото</v>
      </c>
      <c r="R434" s="3" t="str">
        <f>HYPERLINK("https://modify.by/catalog/rubashki/93659034/?utm_source=price&amp;utm_medium=xlsx","открыть")</f>
        <v>открыть</v>
      </c>
    </row>
    <row r="435">
      <c r="A435" t="inlineStr">
        <is>
          <t xml:space="preserve">Женский</t>
        </is>
      </c>
      <c r="B435" t="inlineStr">
        <is>
          <t xml:space="preserve">Рубашки</t>
        </is>
      </c>
      <c r="C435" t="inlineStr">
        <is>
          <t xml:space="preserve">Рубашка оверсайз офисная, черный</t>
        </is>
      </c>
      <c r="D435" t="inlineStr">
        <is>
          <t xml:space="preserve">SH22W01Черный</t>
        </is>
      </c>
      <c r="E435" t="inlineStr">
        <is>
          <t xml:space="preserve">черный</t>
        </is>
      </c>
      <c r="F435" t="inlineStr">
        <is>
          <t xml:space="preserve">50-52</t>
        </is>
      </c>
      <c r="G435">
        <v>1</v>
      </c>
      <c r="H435" s="2">
        <v>25.0</v>
      </c>
      <c r="I435" t="inlineStr">
        <is>
          <t xml:space="preserve">полиэстер 100%</t>
        </is>
      </c>
      <c r="J435"/>
      <c r="K435" t="inlineStr">
        <is>
          <t xml:space="preserve">Бангладеш</t>
        </is>
      </c>
      <c r="L435" t="inlineStr">
        <is>
          <t xml:space="preserve">6206400000</t>
        </is>
      </c>
      <c r="M435" t="inlineStr">
        <is>
          <t xml:space="preserve">Декларация № ЕАЭС № BY/112 11.01. ТР017 122.01 08246, до 19.04.2028</t>
        </is>
      </c>
      <c r="N435" t="inlineStr">
        <is>
          <t xml:space="preserve">1 × 30 × 35</t>
        </is>
      </c>
      <c r="O435" t="inlineStr">
        <is>
          <t xml:space="preserve">0,35</t>
        </is>
      </c>
      <c r="P435" t="inlineStr">
        <is>
          <t xml:space="preserve">2016957037240</t>
        </is>
      </c>
      <c r="Q435" s="3" t="str">
        <f>HYPERLINK("https://modify.by/img/93659034/1.webp","фото")</f>
        <v>фото</v>
      </c>
      <c r="R435" s="3" t="str">
        <f>HYPERLINK("https://modify.by/catalog/rubashki/93659034/?utm_source=price&amp;utm_medium=xlsx","открыть")</f>
        <v>открыть</v>
      </c>
    </row>
    <row r="436">
      <c r="A436" t="inlineStr">
        <is>
          <t xml:space="preserve">Женский</t>
        </is>
      </c>
      <c r="B436" t="inlineStr">
        <is>
          <t xml:space="preserve">Рубашки</t>
        </is>
      </c>
      <c r="C436" t="inlineStr">
        <is>
          <t xml:space="preserve">Рубашка оверсайз офисная, черный</t>
        </is>
      </c>
      <c r="D436" t="inlineStr">
        <is>
          <t xml:space="preserve">SH22W01Черный</t>
        </is>
      </c>
      <c r="E436" t="inlineStr">
        <is>
          <t xml:space="preserve">черный</t>
        </is>
      </c>
      <c r="F436" t="inlineStr">
        <is>
          <t xml:space="preserve">50-52</t>
        </is>
      </c>
      <c r="G436">
        <v>1</v>
      </c>
      <c r="H436" s="2">
        <v>25.0</v>
      </c>
      <c r="I436" t="inlineStr">
        <is>
          <t xml:space="preserve">полиэстер 100%</t>
        </is>
      </c>
      <c r="J436"/>
      <c r="K436" t="inlineStr">
        <is>
          <t xml:space="preserve">Бангладеш</t>
        </is>
      </c>
      <c r="L436" t="inlineStr">
        <is>
          <t xml:space="preserve">6206400000</t>
        </is>
      </c>
      <c r="M436" t="inlineStr">
        <is>
          <t xml:space="preserve">Декларация № ЕАЭС № BY/112 11.01. ТР017 122.01 08246, до 19.04.2028</t>
        </is>
      </c>
      <c r="N436" t="inlineStr">
        <is>
          <t xml:space="preserve">1 × 30 × 35</t>
        </is>
      </c>
      <c r="O436" t="inlineStr">
        <is>
          <t xml:space="preserve">0,35</t>
        </is>
      </c>
      <c r="P436" t="inlineStr">
        <is>
          <t xml:space="preserve">4816148176820</t>
        </is>
      </c>
      <c r="Q436" s="3" t="str">
        <f>HYPERLINK("https://modify.by/img/93659034/1.webp","фото")</f>
        <v>фото</v>
      </c>
      <c r="R436" s="3" t="str">
        <f>HYPERLINK("https://modify.by/catalog/rubashki/93659034/?utm_source=price&amp;utm_medium=xlsx","открыть")</f>
        <v>открыть</v>
      </c>
    </row>
    <row r="437">
      <c r="A437" t="inlineStr">
        <is>
          <t xml:space="preserve">Женский</t>
        </is>
      </c>
      <c r="B437" t="inlineStr">
        <is>
          <t xml:space="preserve">Рубашки</t>
        </is>
      </c>
      <c r="C437" t="inlineStr">
        <is>
          <t xml:space="preserve">Рубашка оверсайз офисная, черный</t>
        </is>
      </c>
      <c r="D437" t="inlineStr">
        <is>
          <t xml:space="preserve">SH22W01Черный</t>
        </is>
      </c>
      <c r="E437" t="inlineStr">
        <is>
          <t xml:space="preserve">черный</t>
        </is>
      </c>
      <c r="F437" t="inlineStr">
        <is>
          <t xml:space="preserve">52-54</t>
        </is>
      </c>
      <c r="G437">
        <v>1</v>
      </c>
      <c r="H437" s="2">
        <v>25.0</v>
      </c>
      <c r="I437" t="inlineStr">
        <is>
          <t xml:space="preserve">полиэстер 100%</t>
        </is>
      </c>
      <c r="J437"/>
      <c r="K437" t="inlineStr">
        <is>
          <t xml:space="preserve">Бангладеш</t>
        </is>
      </c>
      <c r="L437" t="inlineStr">
        <is>
          <t xml:space="preserve">6206400000</t>
        </is>
      </c>
      <c r="M437" t="inlineStr">
        <is>
          <t xml:space="preserve">Декларация № ЕАЭС № BY/112 11.01. ТР017 122.01 08246, до 19.04.2028</t>
        </is>
      </c>
      <c r="N437" t="inlineStr">
        <is>
          <t xml:space="preserve">1 × 30 × 35</t>
        </is>
      </c>
      <c r="O437" t="inlineStr">
        <is>
          <t xml:space="preserve">0,35</t>
        </is>
      </c>
      <c r="P437" t="inlineStr">
        <is>
          <t xml:space="preserve">2016957037233</t>
        </is>
      </c>
      <c r="Q437" s="3" t="str">
        <f>HYPERLINK("https://modify.by/img/93659034/1.webp","фото")</f>
        <v>фото</v>
      </c>
      <c r="R437" s="3" t="str">
        <f>HYPERLINK("https://modify.by/catalog/rubashki/93659034/?utm_source=price&amp;utm_medium=xlsx","открыть")</f>
        <v>открыть</v>
      </c>
    </row>
    <row r="438">
      <c r="A438" t="inlineStr">
        <is>
          <t xml:space="preserve">Женский</t>
        </is>
      </c>
      <c r="B438" t="inlineStr">
        <is>
          <t xml:space="preserve">Рубашки</t>
        </is>
      </c>
      <c r="C438" t="inlineStr">
        <is>
          <t xml:space="preserve">Рубашка оверсайз офисная, черный</t>
        </is>
      </c>
      <c r="D438" t="inlineStr">
        <is>
          <t xml:space="preserve">SH22W01Черный</t>
        </is>
      </c>
      <c r="E438" t="inlineStr">
        <is>
          <t xml:space="preserve">черный</t>
        </is>
      </c>
      <c r="F438" t="inlineStr">
        <is>
          <t xml:space="preserve">52-54</t>
        </is>
      </c>
      <c r="G438">
        <v>1</v>
      </c>
      <c r="H438" s="2">
        <v>25.0</v>
      </c>
      <c r="I438" t="inlineStr">
        <is>
          <t xml:space="preserve">полиэстер 100%</t>
        </is>
      </c>
      <c r="J438"/>
      <c r="K438" t="inlineStr">
        <is>
          <t xml:space="preserve">Бангладеш</t>
        </is>
      </c>
      <c r="L438" t="inlineStr">
        <is>
          <t xml:space="preserve">6206400000</t>
        </is>
      </c>
      <c r="M438" t="inlineStr">
        <is>
          <t xml:space="preserve">Декларация № ЕАЭС № BY/112 11.01. ТР017 122.01 08246, до 19.04.2028</t>
        </is>
      </c>
      <c r="N438" t="inlineStr">
        <is>
          <t xml:space="preserve">1 × 30 × 35</t>
        </is>
      </c>
      <c r="O438" t="inlineStr">
        <is>
          <t xml:space="preserve">0,35</t>
        </is>
      </c>
      <c r="P438" t="inlineStr">
        <is>
          <t xml:space="preserve">4816148176837</t>
        </is>
      </c>
      <c r="Q438" s="3" t="str">
        <f>HYPERLINK("https://modify.by/img/93659034/1.webp","фото")</f>
        <v>фото</v>
      </c>
      <c r="R438" s="3" t="str">
        <f>HYPERLINK("https://modify.by/catalog/rubashki/93659034/?utm_source=price&amp;utm_medium=xlsx","открыть")</f>
        <v>открыть</v>
      </c>
    </row>
    <row r="439">
      <c r="A439" t="inlineStr">
        <is>
          <t xml:space="preserve">Женский</t>
        </is>
      </c>
      <c r="B439" t="inlineStr">
        <is>
          <t xml:space="preserve">Сарафаны</t>
        </is>
      </c>
      <c r="C439" t="inlineStr">
        <is>
          <t xml:space="preserve">Сарафан джинсовый короткий</t>
        </is>
      </c>
      <c r="D439" t="inlineStr">
        <is>
          <t xml:space="preserve">RD42W01темно-серый</t>
        </is>
      </c>
      <c r="E439" t="inlineStr">
        <is>
          <t xml:space="preserve">темно-серый</t>
        </is>
      </c>
      <c r="F439" t="inlineStr">
        <is>
          <t xml:space="preserve">42</t>
        </is>
      </c>
      <c r="G439">
        <v>1</v>
      </c>
      <c r="H439" s="2">
        <v>36.0</v>
      </c>
      <c r="I439" t="inlineStr">
        <is>
          <t xml:space="preserve">хлопок 98%, эластан 2%</t>
        </is>
      </c>
      <c r="J439"/>
      <c r="K439" t="inlineStr">
        <is>
          <t xml:space="preserve">Бангладеш</t>
        </is>
      </c>
      <c r="L439" t="inlineStr">
        <is>
          <t xml:space="preserve">6114900000</t>
        </is>
      </c>
      <c r="M439" t="inlineStr">
        <is>
          <t xml:space="preserve">Декларация № ЕАЭС № BY/112 11.01. ТР017 122.01 08246, до 19.04.2028</t>
        </is>
      </c>
      <c r="N439" t="inlineStr">
        <is>
          <t xml:space="preserve">38 × 29 × 2</t>
        </is>
      </c>
      <c r="O439" t="inlineStr">
        <is>
          <t xml:space="preserve">0,39</t>
        </is>
      </c>
      <c r="P439" t="inlineStr">
        <is>
          <t xml:space="preserve">4816148101211</t>
        </is>
      </c>
      <c r="Q439" s="3" t="str">
        <f>HYPERLINK("https://modify.by/img/234697718/1.webp","фото")</f>
        <v>фото</v>
      </c>
      <c r="R439" s="3" t="str">
        <f>HYPERLINK("https://modify.by/catalog/sarafany/234697718/?utm_source=price&amp;utm_medium=xlsx","открыть")</f>
        <v>открыть</v>
      </c>
    </row>
    <row r="440">
      <c r="A440" t="inlineStr">
        <is>
          <t xml:space="preserve">Женский</t>
        </is>
      </c>
      <c r="B440" t="inlineStr">
        <is>
          <t xml:space="preserve">Сарафаны</t>
        </is>
      </c>
      <c r="C440" t="inlineStr">
        <is>
          <t xml:space="preserve">Сарафан джинсовый короткий</t>
        </is>
      </c>
      <c r="D440" t="inlineStr">
        <is>
          <t xml:space="preserve">RD42W01темно-серый</t>
        </is>
      </c>
      <c r="E440" t="inlineStr">
        <is>
          <t xml:space="preserve">темно-серый</t>
        </is>
      </c>
      <c r="F440" t="inlineStr">
        <is>
          <t xml:space="preserve">44</t>
        </is>
      </c>
      <c r="G440">
        <v>1</v>
      </c>
      <c r="H440" s="2">
        <v>36.0</v>
      </c>
      <c r="I440" t="inlineStr">
        <is>
          <t xml:space="preserve">хлопок 98%, эластан 2%</t>
        </is>
      </c>
      <c r="J440"/>
      <c r="K440" t="inlineStr">
        <is>
          <t xml:space="preserve">Бангладеш</t>
        </is>
      </c>
      <c r="L440" t="inlineStr">
        <is>
          <t xml:space="preserve">6114900000</t>
        </is>
      </c>
      <c r="M440" t="inlineStr">
        <is>
          <t xml:space="preserve">Декларация № ЕАЭС № BY/112 11.01. ТР017 122.01 08246, до 19.04.2028</t>
        </is>
      </c>
      <c r="N440" t="inlineStr">
        <is>
          <t xml:space="preserve">38 × 29 × 2</t>
        </is>
      </c>
      <c r="O440" t="inlineStr">
        <is>
          <t xml:space="preserve">0,39</t>
        </is>
      </c>
      <c r="P440" t="inlineStr">
        <is>
          <t xml:space="preserve">4816148101228</t>
        </is>
      </c>
      <c r="Q440" s="3" t="str">
        <f>HYPERLINK("https://modify.by/img/234697718/1.webp","фото")</f>
        <v>фото</v>
      </c>
      <c r="R440" s="3" t="str">
        <f>HYPERLINK("https://modify.by/catalog/sarafany/234697718/?utm_source=price&amp;utm_medium=xlsx","открыть")</f>
        <v>открыть</v>
      </c>
    </row>
    <row r="441">
      <c r="A441" t="inlineStr">
        <is>
          <t xml:space="preserve">Женский</t>
        </is>
      </c>
      <c r="B441" t="inlineStr">
        <is>
          <t xml:space="preserve">Свитеры</t>
        </is>
      </c>
      <c r="C441" t="inlineStr">
        <is>
          <t xml:space="preserve">Джемпер мягкий теплый ангорка</t>
        </is>
      </c>
      <c r="D441" t="inlineStr">
        <is>
          <t xml:space="preserve">SW42W05молочный</t>
        </is>
      </c>
      <c r="E441" t="inlineStr">
        <is>
          <t xml:space="preserve">молочный, слоновая кость, светло-бежевый, зернистый светло-бежевый</t>
        </is>
      </c>
      <c r="F441" t="inlineStr">
        <is>
          <t xml:space="preserve">48</t>
        </is>
      </c>
      <c r="G441">
        <v>13</v>
      </c>
      <c r="H441" s="2">
        <v>24.0</v>
      </c>
      <c r="I441" t="inlineStr">
        <is>
          <t xml:space="preserve">73% акрил 25% полиэстер 2% эластан</t>
        </is>
      </c>
      <c r="J441"/>
      <c r="K441" t="inlineStr">
        <is>
          <t xml:space="preserve">Бангладеш</t>
        </is>
      </c>
      <c r="L441" t="inlineStr">
        <is>
          <t xml:space="preserve">6110309900</t>
        </is>
      </c>
      <c r="M441" t="inlineStr">
        <is>
          <t xml:space="preserve">Декларация № ЕАЭС № BY/112 11.01. ТР017 122.01 08246, до 19.04.2028</t>
        </is>
      </c>
      <c r="N441" t="inlineStr">
        <is>
          <t xml:space="preserve">30 × 25 × 2</t>
        </is>
      </c>
      <c r="O441" t="inlineStr">
        <is>
          <t xml:space="preserve">0,37</t>
        </is>
      </c>
      <c r="P441" t="inlineStr">
        <is>
          <t xml:space="preserve">4816148149480</t>
        </is>
      </c>
      <c r="Q441" s="3" t="str">
        <f>HYPERLINK("https://modify.by/img/258246512/1.webp","фото")</f>
        <v>фото</v>
      </c>
      <c r="R441" s="3" t="str">
        <f>HYPERLINK("https://modify.by/catalog/svitery/258246512/?utm_source=price&amp;utm_medium=xlsx","открыть")</f>
        <v>открыть</v>
      </c>
    </row>
    <row r="442">
      <c r="A442" t="inlineStr">
        <is>
          <t xml:space="preserve">Женский</t>
        </is>
      </c>
      <c r="B442" t="inlineStr">
        <is>
          <t xml:space="preserve">Свитеры</t>
        </is>
      </c>
      <c r="C442" t="inlineStr">
        <is>
          <t xml:space="preserve">Джемпер с завязками укороченный</t>
        </is>
      </c>
      <c r="D442" t="inlineStr">
        <is>
          <t xml:space="preserve">SW42W03оранжевый</t>
        </is>
      </c>
      <c r="E442" t="inlineStr">
        <is>
          <t xml:space="preserve">оранжевый</t>
        </is>
      </c>
      <c r="F442" t="inlineStr">
        <is>
          <t xml:space="preserve">46</t>
        </is>
      </c>
      <c r="G442">
        <v>1</v>
      </c>
      <c r="H442" s="2">
        <v>27.0</v>
      </c>
      <c r="I442" t="inlineStr">
        <is>
          <t xml:space="preserve">акрил 80%, нейлон 20%</t>
        </is>
      </c>
      <c r="J442"/>
      <c r="K442" t="inlineStr">
        <is>
          <t xml:space="preserve">Бангладеш</t>
        </is>
      </c>
      <c r="L442" t="inlineStr">
        <is>
          <t xml:space="preserve">6110309900</t>
        </is>
      </c>
      <c r="M442" t="inlineStr">
        <is>
          <t xml:space="preserve">Декларация № ЕАЭС № BY/112 11.01. ТР017 122.01 08246, до 19.04.2028</t>
        </is>
      </c>
      <c r="N442" t="inlineStr">
        <is>
          <t xml:space="preserve">30 × 37 × 6</t>
        </is>
      </c>
      <c r="O442" t="inlineStr">
        <is>
          <t xml:space="preserve">0,42</t>
        </is>
      </c>
      <c r="P442" t="inlineStr">
        <is>
          <t xml:space="preserve">4816148109071</t>
        </is>
      </c>
      <c r="Q442" s="3" t="str">
        <f>HYPERLINK("https://modify.by/img/243752712/1.webp","фото")</f>
        <v>фото</v>
      </c>
      <c r="R442" s="3" t="str">
        <f>HYPERLINK("https://modify.by/catalog/svitery/243752712/?utm_source=price&amp;utm_medium=xlsx","открыть")</f>
        <v>открыть</v>
      </c>
    </row>
    <row r="443">
      <c r="A443" t="inlineStr">
        <is>
          <t xml:space="preserve">Женский</t>
        </is>
      </c>
      <c r="B443" t="inlineStr">
        <is>
          <t xml:space="preserve">Свитеры</t>
        </is>
      </c>
      <c r="C443" t="inlineStr">
        <is>
          <t xml:space="preserve">Джемпер с закругленным низом</t>
        </is>
      </c>
      <c r="D443" t="inlineStr">
        <is>
          <t xml:space="preserve">SW02W6Темно-зеленый</t>
        </is>
      </c>
      <c r="E443" t="inlineStr">
        <is>
          <t xml:space="preserve">темно-зеленый</t>
        </is>
      </c>
      <c r="F443" t="inlineStr">
        <is>
          <t xml:space="preserve">50</t>
        </is>
      </c>
      <c r="G443">
        <v>1</v>
      </c>
      <c r="H443" s="2">
        <v>21.0</v>
      </c>
      <c r="I443" t="inlineStr">
        <is>
          <t xml:space="preserve">полиэстер 65%, вискоза 35%</t>
        </is>
      </c>
      <c r="J443"/>
      <c r="K443" t="inlineStr">
        <is>
          <t xml:space="preserve">Бангладеш</t>
        </is>
      </c>
      <c r="L443" t="inlineStr">
        <is>
          <t xml:space="preserve">6110909000</t>
        </is>
      </c>
      <c r="M443" t="inlineStr">
        <is>
          <t xml:space="preserve">по запросу</t>
        </is>
      </c>
      <c r="N443"/>
      <c r="O443"/>
      <c r="P443" t="inlineStr">
        <is>
          <t xml:space="preserve">4816148178145</t>
        </is>
      </c>
      <c r="Q443" s="3" t="str">
        <f>HYPERLINK("https://modify.by/img/101336019/1.webp","фото")</f>
        <v>фото</v>
      </c>
      <c r="R443" s="3" t="str">
        <f>HYPERLINK("https://modify.by/catalog/svitery/101336019/?utm_source=price&amp;utm_medium=xlsx","открыть")</f>
        <v>открыть</v>
      </c>
    </row>
    <row r="444">
      <c r="A444" t="inlineStr">
        <is>
          <t xml:space="preserve">Женский</t>
        </is>
      </c>
      <c r="B444" t="inlineStr">
        <is>
          <t xml:space="preserve">Свитеры</t>
        </is>
      </c>
      <c r="C444" t="inlineStr">
        <is>
          <t xml:space="preserve">Джемпер с закругленным низом</t>
        </is>
      </c>
      <c r="D444" t="inlineStr">
        <is>
          <t xml:space="preserve">SW02W6Темно-зеленый</t>
        </is>
      </c>
      <c r="E444" t="inlineStr">
        <is>
          <t xml:space="preserve">темно-зеленый</t>
        </is>
      </c>
      <c r="F444" t="inlineStr">
        <is>
          <t xml:space="preserve">50</t>
        </is>
      </c>
      <c r="G444">
        <v>1</v>
      </c>
      <c r="H444" s="2">
        <v>21.0</v>
      </c>
      <c r="I444" t="inlineStr">
        <is>
          <t xml:space="preserve">полиэстер 65%, вискоза 35%</t>
        </is>
      </c>
      <c r="J444"/>
      <c r="K444" t="inlineStr">
        <is>
          <t xml:space="preserve">Бангладеш</t>
        </is>
      </c>
      <c r="L444" t="inlineStr">
        <is>
          <t xml:space="preserve">6110909000</t>
        </is>
      </c>
      <c r="M444" t="inlineStr">
        <is>
          <t xml:space="preserve">по запросу</t>
        </is>
      </c>
      <c r="N444"/>
      <c r="O444"/>
      <c r="P444" t="inlineStr">
        <is>
          <t xml:space="preserve">8595633678235</t>
        </is>
      </c>
      <c r="Q444" s="3" t="str">
        <f>HYPERLINK("https://modify.by/img/101336019/1.webp","фото")</f>
        <v>фото</v>
      </c>
      <c r="R444" s="3" t="str">
        <f>HYPERLINK("https://modify.by/catalog/svitery/101336019/?utm_source=price&amp;utm_medium=xlsx","открыть")</f>
        <v>открыть</v>
      </c>
    </row>
    <row r="445">
      <c r="A445" t="inlineStr">
        <is>
          <t xml:space="preserve">Женский</t>
        </is>
      </c>
      <c r="B445" t="inlineStr">
        <is>
          <t xml:space="preserve">Свитеры</t>
        </is>
      </c>
      <c r="C445" t="inlineStr">
        <is>
          <t xml:space="preserve">Джемпер теплый мягкий</t>
        </is>
      </c>
      <c r="D445" t="inlineStr">
        <is>
          <t xml:space="preserve">SW42W05серый</t>
        </is>
      </c>
      <c r="E445" t="inlineStr">
        <is>
          <t xml:space="preserve">серый</t>
        </is>
      </c>
      <c r="F445" t="inlineStr">
        <is>
          <t xml:space="preserve">48</t>
        </is>
      </c>
      <c r="G445">
        <v>21</v>
      </c>
      <c r="H445" s="2">
        <v>24.0</v>
      </c>
      <c r="I445" t="inlineStr">
        <is>
          <t xml:space="preserve">73% акрил 25% полиэстер 2% эластан</t>
        </is>
      </c>
      <c r="J445"/>
      <c r="K445" t="inlineStr">
        <is>
          <t xml:space="preserve">Бангладеш</t>
        </is>
      </c>
      <c r="L445" t="inlineStr">
        <is>
          <t xml:space="preserve">6110309900</t>
        </is>
      </c>
      <c r="M445" t="inlineStr">
        <is>
          <t xml:space="preserve">Декларация № ЕАЭС № BY/112 11.01. ТР017 122.01 08246, до 19.04.2028</t>
        </is>
      </c>
      <c r="N445" t="inlineStr">
        <is>
          <t xml:space="preserve">30 × 25 × 2</t>
        </is>
      </c>
      <c r="O445" t="inlineStr">
        <is>
          <t xml:space="preserve">0,37</t>
        </is>
      </c>
      <c r="P445" t="inlineStr">
        <is>
          <t xml:space="preserve">4816148149381</t>
        </is>
      </c>
      <c r="Q445" s="3" t="str">
        <f>HYPERLINK("https://modify.by/img/258246510/1.webp","фото")</f>
        <v>фото</v>
      </c>
      <c r="R445" s="3" t="str">
        <f>HYPERLINK("https://modify.by/catalog/svitery/258246510/?utm_source=price&amp;utm_medium=xlsx","открыть")</f>
        <v>открыть</v>
      </c>
    </row>
    <row r="446">
      <c r="A446" t="inlineStr">
        <is>
          <t xml:space="preserve">Женский</t>
        </is>
      </c>
      <c r="B446" t="inlineStr">
        <is>
          <t xml:space="preserve">Свитеры</t>
        </is>
      </c>
      <c r="C446" t="inlineStr">
        <is>
          <t xml:space="preserve">Джемпер теплый мягкий</t>
        </is>
      </c>
      <c r="D446" t="inlineStr">
        <is>
          <t xml:space="preserve">SW42W05серый</t>
        </is>
      </c>
      <c r="E446" t="inlineStr">
        <is>
          <t xml:space="preserve">серый</t>
        </is>
      </c>
      <c r="F446" t="inlineStr">
        <is>
          <t xml:space="preserve">52</t>
        </is>
      </c>
      <c r="G446">
        <v>1</v>
      </c>
      <c r="H446" s="2">
        <v>24.0</v>
      </c>
      <c r="I446" t="inlineStr">
        <is>
          <t xml:space="preserve">73% акрил 25% полиэстер 2% эластан</t>
        </is>
      </c>
      <c r="J446"/>
      <c r="K446" t="inlineStr">
        <is>
          <t xml:space="preserve">Бангладеш</t>
        </is>
      </c>
      <c r="L446" t="inlineStr">
        <is>
          <t xml:space="preserve">6110309900</t>
        </is>
      </c>
      <c r="M446" t="inlineStr">
        <is>
          <t xml:space="preserve">Декларация № ЕАЭС № BY/112 11.01. ТР017 122.01 08246, до 19.04.2028</t>
        </is>
      </c>
      <c r="N446" t="inlineStr">
        <is>
          <t xml:space="preserve">30 × 25 × 2</t>
        </is>
      </c>
      <c r="O446" t="inlineStr">
        <is>
          <t xml:space="preserve">0,37</t>
        </is>
      </c>
      <c r="P446" t="inlineStr">
        <is>
          <t xml:space="preserve">4816148149404</t>
        </is>
      </c>
      <c r="Q446" s="3" t="str">
        <f>HYPERLINK("https://modify.by/img/258246510/1.webp","фото")</f>
        <v>фото</v>
      </c>
      <c r="R446" s="3" t="str">
        <f>HYPERLINK("https://modify.by/catalog/svitery/258246510/?utm_source=price&amp;utm_medium=xlsx","открыть")</f>
        <v>открыть</v>
      </c>
    </row>
    <row r="447">
      <c r="A447" t="inlineStr">
        <is>
          <t xml:space="preserve">Женский</t>
        </is>
      </c>
      <c r="B447" t="inlineStr">
        <is>
          <t xml:space="preserve">Свитеры</t>
        </is>
      </c>
      <c r="C447" t="inlineStr">
        <is>
          <t xml:space="preserve">Джемпер теплый со шнуровкой</t>
        </is>
      </c>
      <c r="D447" t="inlineStr">
        <is>
          <t xml:space="preserve">SW42W03темно-синий</t>
        </is>
      </c>
      <c r="E447" t="inlineStr">
        <is>
          <t xml:space="preserve">темно-синий</t>
        </is>
      </c>
      <c r="F447" t="inlineStr">
        <is>
          <t xml:space="preserve">46</t>
        </is>
      </c>
      <c r="G447">
        <v>13</v>
      </c>
      <c r="H447" s="2">
        <v>27.0</v>
      </c>
      <c r="I447" t="inlineStr">
        <is>
          <t xml:space="preserve">80% акрил, 20% нейлон</t>
        </is>
      </c>
      <c r="J447"/>
      <c r="K447" t="inlineStr">
        <is>
          <t xml:space="preserve">Бангладеш</t>
        </is>
      </c>
      <c r="L447" t="inlineStr">
        <is>
          <t xml:space="preserve">6110309900</t>
        </is>
      </c>
      <c r="M447" t="inlineStr">
        <is>
          <t xml:space="preserve">Декларация № ЕАЭС № BY/112 11.01. ТР017 122.01 08246, до 19.04.2028</t>
        </is>
      </c>
      <c r="N447" t="inlineStr">
        <is>
          <t xml:space="preserve">36 × 31 × 3</t>
        </is>
      </c>
      <c r="O447" t="inlineStr">
        <is>
          <t xml:space="preserve">0,42</t>
        </is>
      </c>
      <c r="P447" t="inlineStr">
        <is>
          <t xml:space="preserve">4816148147981</t>
        </is>
      </c>
      <c r="Q447" s="3" t="str">
        <f>HYPERLINK("https://modify.by/img/258246518/1.webp","фото")</f>
        <v>фото</v>
      </c>
      <c r="R447" s="3" t="str">
        <f>HYPERLINK("https://modify.by/catalog/svitery/258246518/?utm_source=price&amp;utm_medium=xlsx","открыть")</f>
        <v>открыть</v>
      </c>
    </row>
    <row r="448">
      <c r="A448" t="inlineStr">
        <is>
          <t xml:space="preserve">Женский</t>
        </is>
      </c>
      <c r="B448" t="inlineStr">
        <is>
          <t xml:space="preserve">Свитеры</t>
        </is>
      </c>
      <c r="C448" t="inlineStr">
        <is>
          <t xml:space="preserve">Джемпер теплый со шнуровкой</t>
        </is>
      </c>
      <c r="D448" t="inlineStr">
        <is>
          <t xml:space="preserve">SW42W03темно-синий</t>
        </is>
      </c>
      <c r="E448" t="inlineStr">
        <is>
          <t xml:space="preserve">темно-синий</t>
        </is>
      </c>
      <c r="F448" t="inlineStr">
        <is>
          <t xml:space="preserve">48</t>
        </is>
      </c>
      <c r="G448">
        <v>8</v>
      </c>
      <c r="H448" s="2">
        <v>27.0</v>
      </c>
      <c r="I448" t="inlineStr">
        <is>
          <t xml:space="preserve">80% акрил, 20% нейлон</t>
        </is>
      </c>
      <c r="J448"/>
      <c r="K448" t="inlineStr">
        <is>
          <t xml:space="preserve">Бангладеш</t>
        </is>
      </c>
      <c r="L448" t="inlineStr">
        <is>
          <t xml:space="preserve">6110309900</t>
        </is>
      </c>
      <c r="M448" t="inlineStr">
        <is>
          <t xml:space="preserve">Декларация № ЕАЭС № BY/112 11.01. ТР017 122.01 08246, до 19.04.2028</t>
        </is>
      </c>
      <c r="N448" t="inlineStr">
        <is>
          <t xml:space="preserve">36 × 31 × 3</t>
        </is>
      </c>
      <c r="O448" t="inlineStr">
        <is>
          <t xml:space="preserve">0,42</t>
        </is>
      </c>
      <c r="P448" t="inlineStr">
        <is>
          <t xml:space="preserve">4816148147998</t>
        </is>
      </c>
      <c r="Q448" s="3" t="str">
        <f>HYPERLINK("https://modify.by/img/258246518/1.webp","фото")</f>
        <v>фото</v>
      </c>
      <c r="R448" s="3" t="str">
        <f>HYPERLINK("https://modify.by/catalog/svitery/258246518/?utm_source=price&amp;utm_medium=xlsx","открыть")</f>
        <v>открыть</v>
      </c>
    </row>
    <row r="449">
      <c r="A449" t="inlineStr">
        <is>
          <t xml:space="preserve">Женский</t>
        </is>
      </c>
      <c r="B449" t="inlineStr">
        <is>
          <t xml:space="preserve">Свитеры</t>
        </is>
      </c>
      <c r="C449" t="inlineStr">
        <is>
          <t xml:space="preserve">Джемпер тонкой вязки теплый</t>
        </is>
      </c>
      <c r="D449" t="inlineStr">
        <is>
          <t xml:space="preserve">SW42W05розовый</t>
        </is>
      </c>
      <c r="E449" t="inlineStr">
        <is>
          <t xml:space="preserve">розовый</t>
        </is>
      </c>
      <c r="F449" t="inlineStr">
        <is>
          <t xml:space="preserve">48</t>
        </is>
      </c>
      <c r="G449">
        <v>1</v>
      </c>
      <c r="H449" s="2">
        <v>24.0</v>
      </c>
      <c r="I449" t="inlineStr">
        <is>
          <t xml:space="preserve">73% акрил 25% полиэстер 2% эластан</t>
        </is>
      </c>
      <c r="J449"/>
      <c r="K449" t="inlineStr">
        <is>
          <t xml:space="preserve">Бангладеш</t>
        </is>
      </c>
      <c r="L449" t="inlineStr">
        <is>
          <t xml:space="preserve">6110309900</t>
        </is>
      </c>
      <c r="M449" t="inlineStr">
        <is>
          <t xml:space="preserve">Декларация № ЕАЭС № BY/112 11.01. ТР017 122.01 08246, до 19.04.2028</t>
        </is>
      </c>
      <c r="N449" t="inlineStr">
        <is>
          <t xml:space="preserve">30 × 25 × 2</t>
        </is>
      </c>
      <c r="O449" t="inlineStr">
        <is>
          <t xml:space="preserve">0,37</t>
        </is>
      </c>
      <c r="P449" t="inlineStr">
        <is>
          <t xml:space="preserve">4816148149534</t>
        </is>
      </c>
      <c r="Q449" s="3" t="str">
        <f>HYPERLINK("https://modify.by/img/258246513/1.webp","фото")</f>
        <v>фото</v>
      </c>
      <c r="R449" s="3" t="str">
        <f>HYPERLINK("https://modify.by/catalog/svitery/258246513/?utm_source=price&amp;utm_medium=xlsx","открыть")</f>
        <v>открыть</v>
      </c>
    </row>
    <row r="450">
      <c r="A450" t="inlineStr">
        <is>
          <t xml:space="preserve">Женский</t>
        </is>
      </c>
      <c r="B450" t="inlineStr">
        <is>
          <t xml:space="preserve">Свитеры</t>
        </is>
      </c>
      <c r="C450" t="inlineStr">
        <is>
          <t xml:space="preserve">Свитер вискоза с в образным вырезом</t>
        </is>
      </c>
      <c r="D450" t="inlineStr">
        <is>
          <t xml:space="preserve">SW12W24*Черный</t>
        </is>
      </c>
      <c r="E450" t="inlineStr">
        <is>
          <t xml:space="preserve">черный</t>
        </is>
      </c>
      <c r="F450" t="inlineStr">
        <is>
          <t xml:space="preserve">50</t>
        </is>
      </c>
      <c r="G450">
        <v>1</v>
      </c>
      <c r="H450" s="2">
        <v>21.0</v>
      </c>
      <c r="I450" t="inlineStr">
        <is>
          <t xml:space="preserve">полиамид 29%, вискоза 71%</t>
        </is>
      </c>
      <c r="J450"/>
      <c r="K450" t="inlineStr">
        <is>
          <t xml:space="preserve">Бангладеш</t>
        </is>
      </c>
      <c r="L450" t="inlineStr">
        <is>
          <t xml:space="preserve">6110209900</t>
        </is>
      </c>
      <c r="M450" t="inlineStr">
        <is>
          <t xml:space="preserve">Декларация № ЕАЭС № BY/112 11.01. ТР017 122.01 08246, до 19.04.2028</t>
        </is>
      </c>
      <c r="N450" t="inlineStr">
        <is>
          <t xml:space="preserve">1 × 30 × 35</t>
        </is>
      </c>
      <c r="O450" t="inlineStr">
        <is>
          <t xml:space="preserve">0,3</t>
        </is>
      </c>
      <c r="P450" t="inlineStr">
        <is>
          <t xml:space="preserve">4816148178589</t>
        </is>
      </c>
      <c r="Q450" s="3" t="str">
        <f>HYPERLINK("https://modify.by/img/58457157/1.webp","фото")</f>
        <v>фото</v>
      </c>
      <c r="R450" s="3" t="str">
        <f>HYPERLINK("https://modify.by/catalog/svitery/58457157/?utm_source=price&amp;utm_medium=xlsx","открыть")</f>
        <v>открыть</v>
      </c>
    </row>
    <row r="451">
      <c r="A451" t="inlineStr">
        <is>
          <t xml:space="preserve">Женский</t>
        </is>
      </c>
      <c r="B451" t="inlineStr">
        <is>
          <t xml:space="preserve">Свитеры</t>
        </is>
      </c>
      <c r="C451" t="inlineStr">
        <is>
          <t xml:space="preserve">Свитер водолазка, бежевый лайт</t>
        </is>
      </c>
      <c r="D451" t="inlineStr">
        <is>
          <t xml:space="preserve">SW62W01телесный</t>
        </is>
      </c>
      <c r="E451" t="inlineStr">
        <is>
          <t xml:space="preserve">бежевый лайт</t>
        </is>
      </c>
      <c r="F451" t="inlineStr">
        <is>
          <t xml:space="preserve">50</t>
        </is>
      </c>
      <c r="G451">
        <v>1</v>
      </c>
      <c r="H451" s="2">
        <v>25.0</v>
      </c>
      <c r="I451" t="inlineStr">
        <is>
          <t xml:space="preserve">50% вискоза,30% п/э,20% нейлон</t>
        </is>
      </c>
      <c r="J451"/>
      <c r="K451" t="inlineStr">
        <is>
          <t xml:space="preserve">Бангладеш</t>
        </is>
      </c>
      <c r="L451" t="inlineStr">
        <is>
          <t xml:space="preserve">6110309900</t>
        </is>
      </c>
      <c r="M451" t="inlineStr">
        <is>
          <t xml:space="preserve">Декларация № ЕАЭС № BY/112 11.01. ТР017 122.01 08246, до 19.04.2028</t>
        </is>
      </c>
      <c r="N451" t="inlineStr">
        <is>
          <t xml:space="preserve">36 × 28 × 2</t>
        </is>
      </c>
      <c r="O451" t="inlineStr">
        <is>
          <t xml:space="preserve">0,28</t>
        </is>
      </c>
      <c r="P451" t="inlineStr">
        <is>
          <t xml:space="preserve">4816148172396</t>
        </is>
      </c>
      <c r="Q451" s="3" t="str">
        <f>HYPERLINK("https://modify.by/img/668159377/1.webp","фото")</f>
        <v>фото</v>
      </c>
      <c r="R451" s="3" t="str">
        <f>HYPERLINK("https://modify.by/catalog/svitery/668159377/?utm_source=price&amp;utm_medium=xlsx","открыть")</f>
        <v>открыть</v>
      </c>
    </row>
    <row r="452">
      <c r="A452" t="inlineStr">
        <is>
          <t xml:space="preserve">Женский</t>
        </is>
      </c>
      <c r="B452" t="inlineStr">
        <is>
          <t xml:space="preserve">Свитеры</t>
        </is>
      </c>
      <c r="C452" t="inlineStr">
        <is>
          <t xml:space="preserve">Свитер водолазка, белый</t>
        </is>
      </c>
      <c r="D452" t="inlineStr">
        <is>
          <t xml:space="preserve">SW62W01черный,белый</t>
        </is>
      </c>
      <c r="E452" t="inlineStr">
        <is>
          <t xml:space="preserve">черный, белый</t>
        </is>
      </c>
      <c r="F452" t="inlineStr">
        <is>
          <t xml:space="preserve">44</t>
        </is>
      </c>
      <c r="G452">
        <v>1</v>
      </c>
      <c r="H452" s="2">
        <v>25.0</v>
      </c>
      <c r="I452" t="inlineStr">
        <is>
          <t xml:space="preserve">50% вискоза,30% п/э,20% нейлон</t>
        </is>
      </c>
      <c r="J452"/>
      <c r="K452" t="inlineStr">
        <is>
          <t xml:space="preserve">Бангладеш</t>
        </is>
      </c>
      <c r="L452" t="inlineStr">
        <is>
          <t xml:space="preserve">6110309900</t>
        </is>
      </c>
      <c r="M452" t="inlineStr">
        <is>
          <t xml:space="preserve">Декларация № ЕАЭС № BY/112 11.01. ТР017 122.01 08246, до 19.04.2028</t>
        </is>
      </c>
      <c r="N452" t="inlineStr">
        <is>
          <t xml:space="preserve">36 × 28 × 2</t>
        </is>
      </c>
      <c r="O452" t="inlineStr">
        <is>
          <t xml:space="preserve">0,28</t>
        </is>
      </c>
      <c r="P452" t="inlineStr">
        <is>
          <t xml:space="preserve">4816148172273</t>
        </is>
      </c>
      <c r="Q452" s="3" t="str">
        <f>HYPERLINK("https://modify.by/img/668159375/1.webp","фото")</f>
        <v>фото</v>
      </c>
      <c r="R452" s="3" t="str">
        <f>HYPERLINK("https://modify.by/catalog/svitery/668159375/?utm_source=price&amp;utm_medium=xlsx","открыть")</f>
        <v>открыть</v>
      </c>
    </row>
    <row r="453">
      <c r="A453" t="inlineStr">
        <is>
          <t xml:space="preserve">Женский</t>
        </is>
      </c>
      <c r="B453" t="inlineStr">
        <is>
          <t xml:space="preserve">Свитеры</t>
        </is>
      </c>
      <c r="C453" t="inlineStr">
        <is>
          <t xml:space="preserve">Свитер водолазка, белый</t>
        </is>
      </c>
      <c r="D453" t="inlineStr">
        <is>
          <t xml:space="preserve">SW62W01черный,белый</t>
        </is>
      </c>
      <c r="E453" t="inlineStr">
        <is>
          <t xml:space="preserve">черный, белый</t>
        </is>
      </c>
      <c r="F453" t="inlineStr">
        <is>
          <t xml:space="preserve">50</t>
        </is>
      </c>
      <c r="G453">
        <v>1</v>
      </c>
      <c r="H453" s="2">
        <v>25.0</v>
      </c>
      <c r="I453" t="inlineStr">
        <is>
          <t xml:space="preserve">50% вискоза,30% п/э,20% нейлон</t>
        </is>
      </c>
      <c r="J453"/>
      <c r="K453" t="inlineStr">
        <is>
          <t xml:space="preserve">Бангладеш</t>
        </is>
      </c>
      <c r="L453" t="inlineStr">
        <is>
          <t xml:space="preserve">6110309900</t>
        </is>
      </c>
      <c r="M453" t="inlineStr">
        <is>
          <t xml:space="preserve">Декларация № ЕАЭС № BY/112 11.01. ТР017 122.01 08246, до 19.04.2028</t>
        </is>
      </c>
      <c r="N453" t="inlineStr">
        <is>
          <t xml:space="preserve">36 × 28 × 2</t>
        </is>
      </c>
      <c r="O453" t="inlineStr">
        <is>
          <t xml:space="preserve">0,28</t>
        </is>
      </c>
      <c r="P453" t="inlineStr">
        <is>
          <t xml:space="preserve">4816148172297</t>
        </is>
      </c>
      <c r="Q453" s="3" t="str">
        <f>HYPERLINK("https://modify.by/img/668159375/1.webp","фото")</f>
        <v>фото</v>
      </c>
      <c r="R453" s="3" t="str">
        <f>HYPERLINK("https://modify.by/catalog/svitery/668159375/?utm_source=price&amp;utm_medium=xlsx","открыть")</f>
        <v>открыть</v>
      </c>
    </row>
    <row r="454">
      <c r="A454" t="inlineStr">
        <is>
          <t xml:space="preserve">Женский</t>
        </is>
      </c>
      <c r="B454" t="inlineStr">
        <is>
          <t xml:space="preserve">Свитеры</t>
        </is>
      </c>
      <c r="C454" t="inlineStr">
        <is>
          <t xml:space="preserve">Свитер водолазка, пастельно-песочный</t>
        </is>
      </c>
      <c r="D454" t="inlineStr">
        <is>
          <t xml:space="preserve">SW62W01пастельно-песочный</t>
        </is>
      </c>
      <c r="E454" t="inlineStr">
        <is>
          <t xml:space="preserve">пастельно-песочный</t>
        </is>
      </c>
      <c r="F454" t="inlineStr">
        <is>
          <t xml:space="preserve">46</t>
        </is>
      </c>
      <c r="G454">
        <v>1</v>
      </c>
      <c r="H454" s="2">
        <v>25.0</v>
      </c>
      <c r="I454" t="inlineStr">
        <is>
          <t xml:space="preserve">50% вискоза,30% п/э,20% нейлон</t>
        </is>
      </c>
      <c r="J454"/>
      <c r="K454" t="inlineStr">
        <is>
          <t xml:space="preserve">Бангладеш</t>
        </is>
      </c>
      <c r="L454" t="inlineStr">
        <is>
          <t xml:space="preserve">6110309900</t>
        </is>
      </c>
      <c r="M454" t="inlineStr">
        <is>
          <t xml:space="preserve">Декларация № ЕАЭС № BY/112 11.01. ТР017 122.01 08246, до 19.04.2028</t>
        </is>
      </c>
      <c r="N454" t="inlineStr">
        <is>
          <t xml:space="preserve">36 × 28 × 2</t>
        </is>
      </c>
      <c r="O454" t="inlineStr">
        <is>
          <t xml:space="preserve">0,28</t>
        </is>
      </c>
      <c r="P454" t="inlineStr">
        <is>
          <t xml:space="preserve">4816148172464</t>
        </is>
      </c>
      <c r="Q454" s="3" t="str">
        <f>HYPERLINK("https://modify.by/img/668159363/1.webp","фото")</f>
        <v>фото</v>
      </c>
      <c r="R454" s="3" t="str">
        <f>HYPERLINK("https://modify.by/catalog/svitery/668159363/?utm_source=price&amp;utm_medium=xlsx","открыть")</f>
        <v>открыть</v>
      </c>
    </row>
    <row r="455">
      <c r="A455" t="inlineStr">
        <is>
          <t xml:space="preserve">Женский</t>
        </is>
      </c>
      <c r="B455" t="inlineStr">
        <is>
          <t xml:space="preserve">Свитеры</t>
        </is>
      </c>
      <c r="C455" t="inlineStr">
        <is>
          <t xml:space="preserve">Свитер водолазка, пастельно-песочный</t>
        </is>
      </c>
      <c r="D455" t="inlineStr">
        <is>
          <t xml:space="preserve">SW62W01пастельно-песочный</t>
        </is>
      </c>
      <c r="E455" t="inlineStr">
        <is>
          <t xml:space="preserve">пастельно-песочный</t>
        </is>
      </c>
      <c r="F455" t="inlineStr">
        <is>
          <t xml:space="preserve">48</t>
        </is>
      </c>
      <c r="G455">
        <v>4</v>
      </c>
      <c r="H455" s="2">
        <v>25.0</v>
      </c>
      <c r="I455" t="inlineStr">
        <is>
          <t xml:space="preserve">50% вискоза,30% п/э,20% нейлон</t>
        </is>
      </c>
      <c r="J455"/>
      <c r="K455" t="inlineStr">
        <is>
          <t xml:space="preserve">Бангладеш</t>
        </is>
      </c>
      <c r="L455" t="inlineStr">
        <is>
          <t xml:space="preserve">6110309900</t>
        </is>
      </c>
      <c r="M455" t="inlineStr">
        <is>
          <t xml:space="preserve">Декларация № ЕАЭС № BY/112 11.01. ТР017 122.01 08246, до 19.04.2028</t>
        </is>
      </c>
      <c r="N455" t="inlineStr">
        <is>
          <t xml:space="preserve">36 × 28 × 2</t>
        </is>
      </c>
      <c r="O455" t="inlineStr">
        <is>
          <t xml:space="preserve">0,28</t>
        </is>
      </c>
      <c r="P455" t="inlineStr">
        <is>
          <t xml:space="preserve">4816148172471</t>
        </is>
      </c>
      <c r="Q455" s="3" t="str">
        <f>HYPERLINK("https://modify.by/img/668159363/1.webp","фото")</f>
        <v>фото</v>
      </c>
      <c r="R455" s="3" t="str">
        <f>HYPERLINK("https://modify.by/catalog/svitery/668159363/?utm_source=price&amp;utm_medium=xlsx","открыть")</f>
        <v>открыть</v>
      </c>
    </row>
    <row r="456">
      <c r="A456" t="inlineStr">
        <is>
          <t xml:space="preserve">Женский</t>
        </is>
      </c>
      <c r="B456" t="inlineStr">
        <is>
          <t xml:space="preserve">Свитеры</t>
        </is>
      </c>
      <c r="C456" t="inlineStr">
        <is>
          <t xml:space="preserve">Свитер водолазка, пастельно-песочный</t>
        </is>
      </c>
      <c r="D456" t="inlineStr">
        <is>
          <t xml:space="preserve">SW62W01пастельно-песочный</t>
        </is>
      </c>
      <c r="E456" t="inlineStr">
        <is>
          <t xml:space="preserve">пастельно-песочный</t>
        </is>
      </c>
      <c r="F456" t="inlineStr">
        <is>
          <t xml:space="preserve">50</t>
        </is>
      </c>
      <c r="G456">
        <v>2</v>
      </c>
      <c r="H456" s="2">
        <v>25.0</v>
      </c>
      <c r="I456" t="inlineStr">
        <is>
          <t xml:space="preserve">50% вискоза,30% п/э,20% нейлон</t>
        </is>
      </c>
      <c r="J456"/>
      <c r="K456" t="inlineStr">
        <is>
          <t xml:space="preserve">Бангладеш</t>
        </is>
      </c>
      <c r="L456" t="inlineStr">
        <is>
          <t xml:space="preserve">6110309900</t>
        </is>
      </c>
      <c r="M456" t="inlineStr">
        <is>
          <t xml:space="preserve">Декларация № ЕАЭС № BY/112 11.01. ТР017 122.01 08246, до 19.04.2028</t>
        </is>
      </c>
      <c r="N456" t="inlineStr">
        <is>
          <t xml:space="preserve">36 × 28 × 2</t>
        </is>
      </c>
      <c r="O456" t="inlineStr">
        <is>
          <t xml:space="preserve">0,28</t>
        </is>
      </c>
      <c r="P456" t="inlineStr">
        <is>
          <t xml:space="preserve">4816148172488</t>
        </is>
      </c>
      <c r="Q456" s="3" t="str">
        <f>HYPERLINK("https://modify.by/img/668159363/1.webp","фото")</f>
        <v>фото</v>
      </c>
      <c r="R456" s="3" t="str">
        <f>HYPERLINK("https://modify.by/catalog/svitery/668159363/?utm_source=price&amp;utm_medium=xlsx","открыть")</f>
        <v>открыть</v>
      </c>
    </row>
    <row r="457">
      <c r="A457" t="inlineStr">
        <is>
          <t xml:space="preserve">Женский</t>
        </is>
      </c>
      <c r="B457" t="inlineStr">
        <is>
          <t xml:space="preserve">Свитеры</t>
        </is>
      </c>
      <c r="C457" t="inlineStr">
        <is>
          <t xml:space="preserve">Свитер водолазка, песочно-желтый</t>
        </is>
      </c>
      <c r="D457" t="inlineStr">
        <is>
          <t xml:space="preserve">SW62W01песочно-желтый</t>
        </is>
      </c>
      <c r="E457" t="inlineStr">
        <is>
          <t xml:space="preserve">песочно-желтый</t>
        </is>
      </c>
      <c r="F457" t="inlineStr">
        <is>
          <t xml:space="preserve">50</t>
        </is>
      </c>
      <c r="G457">
        <v>1</v>
      </c>
      <c r="H457" s="2">
        <v>25.0</v>
      </c>
      <c r="I457" t="inlineStr">
        <is>
          <t xml:space="preserve">50% вискоза,30% п/э,20% нейлон</t>
        </is>
      </c>
      <c r="J457"/>
      <c r="K457" t="inlineStr">
        <is>
          <t xml:space="preserve">Бангладеш</t>
        </is>
      </c>
      <c r="L457" t="inlineStr">
        <is>
          <t xml:space="preserve">6110309900</t>
        </is>
      </c>
      <c r="M457" t="inlineStr">
        <is>
          <t xml:space="preserve">Декларация № ЕАЭС № BY/112 11.01. ТР017 122.01 08246, до 19.04.2028</t>
        </is>
      </c>
      <c r="N457" t="inlineStr">
        <is>
          <t xml:space="preserve">36 × 28 × 2</t>
        </is>
      </c>
      <c r="O457" t="inlineStr">
        <is>
          <t xml:space="preserve">0,28</t>
        </is>
      </c>
      <c r="P457" t="inlineStr">
        <is>
          <t xml:space="preserve">4816148172525</t>
        </is>
      </c>
      <c r="Q457" s="3" t="str">
        <f>HYPERLINK("https://modify.by/img/668159378/1.webp","фото")</f>
        <v>фото</v>
      </c>
      <c r="R457" s="3" t="str">
        <f>HYPERLINK("https://modify.by/catalog/svitery/668159378/?utm_source=price&amp;utm_medium=xlsx","открыть")</f>
        <v>открыть</v>
      </c>
    </row>
    <row r="458">
      <c r="A458" t="inlineStr">
        <is>
          <t xml:space="preserve">Женский</t>
        </is>
      </c>
      <c r="B458" t="inlineStr">
        <is>
          <t xml:space="preserve">Свитеры</t>
        </is>
      </c>
      <c r="C458" t="inlineStr">
        <is>
          <t xml:space="preserve">Свитер водолазка, светло-песочный</t>
        </is>
      </c>
      <c r="D458" t="inlineStr">
        <is>
          <t xml:space="preserve">SW62W01светло-песочный</t>
        </is>
      </c>
      <c r="E458" t="inlineStr">
        <is>
          <t xml:space="preserve">светло-песочный</t>
        </is>
      </c>
      <c r="F458" t="inlineStr">
        <is>
          <t xml:space="preserve">48</t>
        </is>
      </c>
      <c r="G458">
        <v>1</v>
      </c>
      <c r="H458" s="2">
        <v>25.0</v>
      </c>
      <c r="I458" t="inlineStr">
        <is>
          <t xml:space="preserve">50% вискоза,30% п/э,20% нейлон</t>
        </is>
      </c>
      <c r="J458"/>
      <c r="K458" t="inlineStr">
        <is>
          <t xml:space="preserve">Бангладеш</t>
        </is>
      </c>
      <c r="L458" t="inlineStr">
        <is>
          <t xml:space="preserve">6110309900</t>
        </is>
      </c>
      <c r="M458" t="inlineStr">
        <is>
          <t xml:space="preserve">Декларация № ЕАЭС № BY/112 11.01. ТР017 122.01 08246, до 19.04.2028</t>
        </is>
      </c>
      <c r="N458" t="inlineStr">
        <is>
          <t xml:space="preserve">36 × 28 × 2</t>
        </is>
      </c>
      <c r="O458" t="inlineStr">
        <is>
          <t xml:space="preserve">0,28</t>
        </is>
      </c>
      <c r="P458" t="inlineStr">
        <is>
          <t xml:space="preserve">4816148172990</t>
        </is>
      </c>
      <c r="Q458" s="3" t="str">
        <f>HYPERLINK("https://modify.by/img/668159366/1.webp","фото")</f>
        <v>фото</v>
      </c>
      <c r="R458" s="3" t="str">
        <f>HYPERLINK("https://modify.by/catalog/svitery/668159366/?utm_source=price&amp;utm_medium=xlsx","открыть")</f>
        <v>открыть</v>
      </c>
    </row>
    <row r="459">
      <c r="A459" t="inlineStr">
        <is>
          <t xml:space="preserve">Женский</t>
        </is>
      </c>
      <c r="B459" t="inlineStr">
        <is>
          <t xml:space="preserve">Свитеры</t>
        </is>
      </c>
      <c r="C459" t="inlineStr">
        <is>
          <t xml:space="preserve">Свитер водолазка, светло-песочный</t>
        </is>
      </c>
      <c r="D459" t="inlineStr">
        <is>
          <t xml:space="preserve">SW62W01светло-песочный</t>
        </is>
      </c>
      <c r="E459" t="inlineStr">
        <is>
          <t xml:space="preserve">светло-песочный</t>
        </is>
      </c>
      <c r="F459" t="inlineStr">
        <is>
          <t xml:space="preserve">50</t>
        </is>
      </c>
      <c r="G459">
        <v>3</v>
      </c>
      <c r="H459" s="2">
        <v>25.0</v>
      </c>
      <c r="I459" t="inlineStr">
        <is>
          <t xml:space="preserve">50% вискоза,30% п/э,20% нейлон</t>
        </is>
      </c>
      <c r="J459"/>
      <c r="K459" t="inlineStr">
        <is>
          <t xml:space="preserve">Бангладеш</t>
        </is>
      </c>
      <c r="L459" t="inlineStr">
        <is>
          <t xml:space="preserve">6110309900</t>
        </is>
      </c>
      <c r="M459" t="inlineStr">
        <is>
          <t xml:space="preserve">Декларация № ЕАЭС № BY/112 11.01. ТР017 122.01 08246, до 19.04.2028</t>
        </is>
      </c>
      <c r="N459" t="inlineStr">
        <is>
          <t xml:space="preserve">36 × 28 × 2</t>
        </is>
      </c>
      <c r="O459" t="inlineStr">
        <is>
          <t xml:space="preserve">0,28</t>
        </is>
      </c>
      <c r="P459" t="inlineStr">
        <is>
          <t xml:space="preserve">4816148173003</t>
        </is>
      </c>
      <c r="Q459" s="3" t="str">
        <f>HYPERLINK("https://modify.by/img/668159366/1.webp","фото")</f>
        <v>фото</v>
      </c>
      <c r="R459" s="3" t="str">
        <f>HYPERLINK("https://modify.by/catalog/svitery/668159366/?utm_source=price&amp;utm_medium=xlsx","открыть")</f>
        <v>открыть</v>
      </c>
    </row>
    <row r="460">
      <c r="A460" t="inlineStr">
        <is>
          <t xml:space="preserve">Женский</t>
        </is>
      </c>
      <c r="B460" t="inlineStr">
        <is>
          <t xml:space="preserve">Свитеры</t>
        </is>
      </c>
      <c r="C460" t="inlineStr">
        <is>
          <t xml:space="preserve">Свитер водолазка, серо-синий</t>
        </is>
      </c>
      <c r="D460" t="inlineStr">
        <is>
          <t xml:space="preserve">SW62W01серо-синий</t>
        </is>
      </c>
      <c r="E460" t="inlineStr">
        <is>
          <t xml:space="preserve">серо-синий</t>
        </is>
      </c>
      <c r="F460" t="inlineStr">
        <is>
          <t xml:space="preserve">46</t>
        </is>
      </c>
      <c r="G460">
        <v>1</v>
      </c>
      <c r="H460" s="2">
        <v>25.0</v>
      </c>
      <c r="I460" t="inlineStr">
        <is>
          <t xml:space="preserve">50% вискоза,30% п/э,20% нейлон</t>
        </is>
      </c>
      <c r="J460"/>
      <c r="K460" t="inlineStr">
        <is>
          <t xml:space="preserve">Бангладеш</t>
        </is>
      </c>
      <c r="L460" t="inlineStr">
        <is>
          <t xml:space="preserve">6110309900</t>
        </is>
      </c>
      <c r="M460" t="inlineStr">
        <is>
          <t xml:space="preserve">Декларация № ЕАЭС № BY/112 11.01. ТР017 122.01 08246, до 19.04.2028</t>
        </is>
      </c>
      <c r="N460" t="inlineStr">
        <is>
          <t xml:space="preserve">36 × 28 × 2</t>
        </is>
      </c>
      <c r="O460" t="inlineStr">
        <is>
          <t xml:space="preserve">0,28</t>
        </is>
      </c>
      <c r="P460" t="inlineStr">
        <is>
          <t xml:space="preserve">4816148173096</t>
        </is>
      </c>
      <c r="Q460" s="3" t="str">
        <f>HYPERLINK("https://modify.by/img/670163876/1.webp","фото")</f>
        <v>фото</v>
      </c>
      <c r="R460" s="3" t="str">
        <f>HYPERLINK("https://modify.by/catalog/svitery/670163876/?utm_source=price&amp;utm_medium=xlsx","открыть")</f>
        <v>открыть</v>
      </c>
    </row>
    <row r="461">
      <c r="A461" t="inlineStr">
        <is>
          <t xml:space="preserve">Женский</t>
        </is>
      </c>
      <c r="B461" t="inlineStr">
        <is>
          <t xml:space="preserve">Свитеры</t>
        </is>
      </c>
      <c r="C461" t="inlineStr">
        <is>
          <t xml:space="preserve">Свитер водолазка, серо-синий</t>
        </is>
      </c>
      <c r="D461" t="inlineStr">
        <is>
          <t xml:space="preserve">SW62W01серо-синий</t>
        </is>
      </c>
      <c r="E461" t="inlineStr">
        <is>
          <t xml:space="preserve">серо-синий</t>
        </is>
      </c>
      <c r="F461" t="inlineStr">
        <is>
          <t xml:space="preserve">48</t>
        </is>
      </c>
      <c r="G461">
        <v>3</v>
      </c>
      <c r="H461" s="2">
        <v>25.0</v>
      </c>
      <c r="I461" t="inlineStr">
        <is>
          <t xml:space="preserve">50% вискоза,30% п/э,20% нейлон</t>
        </is>
      </c>
      <c r="J461"/>
      <c r="K461" t="inlineStr">
        <is>
          <t xml:space="preserve">Бангладеш</t>
        </is>
      </c>
      <c r="L461" t="inlineStr">
        <is>
          <t xml:space="preserve">6110309900</t>
        </is>
      </c>
      <c r="M461" t="inlineStr">
        <is>
          <t xml:space="preserve">Декларация № ЕАЭС № BY/112 11.01. ТР017 122.01 08246, до 19.04.2028</t>
        </is>
      </c>
      <c r="N461" t="inlineStr">
        <is>
          <t xml:space="preserve">36 × 28 × 2</t>
        </is>
      </c>
      <c r="O461" t="inlineStr">
        <is>
          <t xml:space="preserve">0,28</t>
        </is>
      </c>
      <c r="P461" t="inlineStr">
        <is>
          <t xml:space="preserve">4816148173102</t>
        </is>
      </c>
      <c r="Q461" s="3" t="str">
        <f>HYPERLINK("https://modify.by/img/670163876/1.webp","фото")</f>
        <v>фото</v>
      </c>
      <c r="R461" s="3" t="str">
        <f>HYPERLINK("https://modify.by/catalog/svitery/670163876/?utm_source=price&amp;utm_medium=xlsx","открыть")</f>
        <v>открыть</v>
      </c>
    </row>
    <row r="462">
      <c r="A462" t="inlineStr">
        <is>
          <t xml:space="preserve">Женский</t>
        </is>
      </c>
      <c r="B462" t="inlineStr">
        <is>
          <t xml:space="preserve">Свитеры</t>
        </is>
      </c>
      <c r="C462" t="inlineStr">
        <is>
          <t xml:space="preserve">Свитер водолазка, серо-синий</t>
        </is>
      </c>
      <c r="D462" t="inlineStr">
        <is>
          <t xml:space="preserve">SW62W01серо-синий</t>
        </is>
      </c>
      <c r="E462" t="inlineStr">
        <is>
          <t xml:space="preserve">серо-синий</t>
        </is>
      </c>
      <c r="F462" t="inlineStr">
        <is>
          <t xml:space="preserve">50</t>
        </is>
      </c>
      <c r="G462">
        <v>6</v>
      </c>
      <c r="H462" s="2">
        <v>25.0</v>
      </c>
      <c r="I462" t="inlineStr">
        <is>
          <t xml:space="preserve">50% вискоза,30% п/э,20% нейлон</t>
        </is>
      </c>
      <c r="J462"/>
      <c r="K462" t="inlineStr">
        <is>
          <t xml:space="preserve">Бангладеш</t>
        </is>
      </c>
      <c r="L462" t="inlineStr">
        <is>
          <t xml:space="preserve">6110309900</t>
        </is>
      </c>
      <c r="M462" t="inlineStr">
        <is>
          <t xml:space="preserve">Декларация № ЕАЭС № BY/112 11.01. ТР017 122.01 08246, до 19.04.2028</t>
        </is>
      </c>
      <c r="N462" t="inlineStr">
        <is>
          <t xml:space="preserve">36 × 28 × 2</t>
        </is>
      </c>
      <c r="O462" t="inlineStr">
        <is>
          <t xml:space="preserve">0,28</t>
        </is>
      </c>
      <c r="P462" t="inlineStr">
        <is>
          <t xml:space="preserve">4816148173119</t>
        </is>
      </c>
      <c r="Q462" s="3" t="str">
        <f>HYPERLINK("https://modify.by/img/670163876/1.webp","фото")</f>
        <v>фото</v>
      </c>
      <c r="R462" s="3" t="str">
        <f>HYPERLINK("https://modify.by/catalog/svitery/670163876/?utm_source=price&amp;utm_medium=xlsx","открыть")</f>
        <v>открыть</v>
      </c>
    </row>
    <row r="463">
      <c r="A463" t="inlineStr">
        <is>
          <t xml:space="preserve">Женский</t>
        </is>
      </c>
      <c r="B463" t="inlineStr">
        <is>
          <t xml:space="preserve">Свитеры</t>
        </is>
      </c>
      <c r="C463" t="inlineStr">
        <is>
          <t xml:space="preserve">Свитер водолазка, черный</t>
        </is>
      </c>
      <c r="D463" t="inlineStr">
        <is>
          <t xml:space="preserve">SW62W01черный</t>
        </is>
      </c>
      <c r="E463" t="inlineStr">
        <is>
          <t xml:space="preserve">черный</t>
        </is>
      </c>
      <c r="F463" t="inlineStr">
        <is>
          <t xml:space="preserve">46</t>
        </is>
      </c>
      <c r="G463">
        <v>7</v>
      </c>
      <c r="H463" s="2">
        <v>25.0</v>
      </c>
      <c r="I463" t="inlineStr">
        <is>
          <t xml:space="preserve">50% вискоза,30% п/э,20% нейлон</t>
        </is>
      </c>
      <c r="J463"/>
      <c r="K463" t="inlineStr">
        <is>
          <t xml:space="preserve">Бангладеш</t>
        </is>
      </c>
      <c r="L463" t="inlineStr">
        <is>
          <t xml:space="preserve">6110309900</t>
        </is>
      </c>
      <c r="M463" t="inlineStr">
        <is>
          <t xml:space="preserve">Декларация № ЕАЭС № BY/112 11.01. ТР017 122.01 08246, до 19.04.2028</t>
        </is>
      </c>
      <c r="N463" t="inlineStr">
        <is>
          <t xml:space="preserve">36 × 28 × 2</t>
        </is>
      </c>
      <c r="O463" t="inlineStr">
        <is>
          <t xml:space="preserve">0,28</t>
        </is>
      </c>
      <c r="P463" t="inlineStr">
        <is>
          <t xml:space="preserve">4816148173034</t>
        </is>
      </c>
      <c r="Q463" s="3" t="str">
        <f>HYPERLINK("https://modify.by/img/668159380/1.webp","фото")</f>
        <v>фото</v>
      </c>
      <c r="R463" s="3" t="str">
        <f>HYPERLINK("https://modify.by/catalog/svitery/668159380/?utm_source=price&amp;utm_medium=xlsx","открыть")</f>
        <v>открыть</v>
      </c>
    </row>
    <row r="464">
      <c r="A464" t="inlineStr">
        <is>
          <t xml:space="preserve">Женский</t>
        </is>
      </c>
      <c r="B464" t="inlineStr">
        <is>
          <t xml:space="preserve">Свитеры</t>
        </is>
      </c>
      <c r="C464" t="inlineStr">
        <is>
          <t xml:space="preserve">Свитер водолазка, черный</t>
        </is>
      </c>
      <c r="D464" t="inlineStr">
        <is>
          <t xml:space="preserve">SW62W01черный</t>
        </is>
      </c>
      <c r="E464" t="inlineStr">
        <is>
          <t xml:space="preserve">черный</t>
        </is>
      </c>
      <c r="F464" t="inlineStr">
        <is>
          <t xml:space="preserve">50</t>
        </is>
      </c>
      <c r="G464">
        <v>3</v>
      </c>
      <c r="H464" s="2">
        <v>25.0</v>
      </c>
      <c r="I464" t="inlineStr">
        <is>
          <t xml:space="preserve">50% вискоза,30% п/э,20% нейлон</t>
        </is>
      </c>
      <c r="J464"/>
      <c r="K464" t="inlineStr">
        <is>
          <t xml:space="preserve">Бангладеш</t>
        </is>
      </c>
      <c r="L464" t="inlineStr">
        <is>
          <t xml:space="preserve">6110309900</t>
        </is>
      </c>
      <c r="M464" t="inlineStr">
        <is>
          <t xml:space="preserve">Декларация № ЕАЭС № BY/112 11.01. ТР017 122.01 08246, до 19.04.2028</t>
        </is>
      </c>
      <c r="N464" t="inlineStr">
        <is>
          <t xml:space="preserve">36 × 28 × 2</t>
        </is>
      </c>
      <c r="O464" t="inlineStr">
        <is>
          <t xml:space="preserve">0,28</t>
        </is>
      </c>
      <c r="P464" t="inlineStr">
        <is>
          <t xml:space="preserve">4816148173058</t>
        </is>
      </c>
      <c r="Q464" s="3" t="str">
        <f>HYPERLINK("https://modify.by/img/668159380/1.webp","фото")</f>
        <v>фото</v>
      </c>
      <c r="R464" s="3" t="str">
        <f>HYPERLINK("https://modify.by/catalog/svitery/668159380/?utm_source=price&amp;utm_medium=xlsx","открыть")</f>
        <v>открыть</v>
      </c>
    </row>
    <row r="465">
      <c r="A465" t="inlineStr">
        <is>
          <t xml:space="preserve">Женский</t>
        </is>
      </c>
      <c r="B465" t="inlineStr">
        <is>
          <t xml:space="preserve">Свитеры</t>
        </is>
      </c>
      <c r="C465" t="inlineStr">
        <is>
          <t xml:space="preserve">Свитер вязаный с горлом, бордовый</t>
        </is>
      </c>
      <c r="D465" t="inlineStr">
        <is>
          <t xml:space="preserve">SW42W04бордовый</t>
        </is>
      </c>
      <c r="E465" t="inlineStr">
        <is>
          <t xml:space="preserve">бордовый, темно-красный, винный, марсала</t>
        </is>
      </c>
      <c r="F465" t="inlineStr">
        <is>
          <t xml:space="preserve">46</t>
        </is>
      </c>
      <c r="G465">
        <v>5</v>
      </c>
      <c r="H465" s="2">
        <v>27.0</v>
      </c>
      <c r="I465" t="inlineStr">
        <is>
          <t xml:space="preserve">100% акрил</t>
        </is>
      </c>
      <c r="J465"/>
      <c r="K465" t="inlineStr">
        <is>
          <t xml:space="preserve">Бангладеш</t>
        </is>
      </c>
      <c r="L465" t="inlineStr">
        <is>
          <t xml:space="preserve">6110309900</t>
        </is>
      </c>
      <c r="M465" t="inlineStr">
        <is>
          <t xml:space="preserve">Декларация № ЕАЭС № BY/112 11.01. ТР017 122.01 08246, до 19.04.2028</t>
        </is>
      </c>
      <c r="N465" t="inlineStr">
        <is>
          <t xml:space="preserve">31 × 25 × 2</t>
        </is>
      </c>
      <c r="O465" t="inlineStr">
        <is>
          <t xml:space="preserve">0,36</t>
        </is>
      </c>
      <c r="P465" t="inlineStr">
        <is>
          <t xml:space="preserve">4816148138538</t>
        </is>
      </c>
      <c r="Q465" s="3" t="str">
        <f>HYPERLINK("https://modify.by/img/258246507/1.webp","фото")</f>
        <v>фото</v>
      </c>
      <c r="R465" s="3" t="str">
        <f>HYPERLINK("https://modify.by/catalog/svitery/258246507/?utm_source=price&amp;utm_medium=xlsx","открыть")</f>
        <v>открыть</v>
      </c>
    </row>
    <row r="466">
      <c r="A466" t="inlineStr">
        <is>
          <t xml:space="preserve">Женский</t>
        </is>
      </c>
      <c r="B466" t="inlineStr">
        <is>
          <t xml:space="preserve">Свитеры</t>
        </is>
      </c>
      <c r="C466" t="inlineStr">
        <is>
          <t xml:space="preserve">Свитер вязаный с горлом, песочный</t>
        </is>
      </c>
      <c r="D466" t="inlineStr">
        <is>
          <t xml:space="preserve">SW42W04песочный</t>
        </is>
      </c>
      <c r="E466" t="inlineStr">
        <is>
          <t xml:space="preserve">песочный, светло-бежевый, светло-коричневый, кэмел</t>
        </is>
      </c>
      <c r="F466" t="inlineStr">
        <is>
          <t xml:space="preserve">44</t>
        </is>
      </c>
      <c r="G466">
        <v>68</v>
      </c>
      <c r="H466" s="2">
        <v>27.0</v>
      </c>
      <c r="I466" t="inlineStr">
        <is>
          <t xml:space="preserve">100% акрил</t>
        </is>
      </c>
      <c r="J466"/>
      <c r="K466" t="inlineStr">
        <is>
          <t xml:space="preserve">Бангладеш</t>
        </is>
      </c>
      <c r="L466" t="inlineStr">
        <is>
          <t xml:space="preserve">6110309900</t>
        </is>
      </c>
      <c r="M466" t="inlineStr">
        <is>
          <t xml:space="preserve">Декларация № ЕАЭС № BY/112 11.01. ТР017 122.01 08246, до 19.04.2028</t>
        </is>
      </c>
      <c r="N466" t="inlineStr">
        <is>
          <t xml:space="preserve">31 × 25 × 2</t>
        </is>
      </c>
      <c r="O466" t="inlineStr">
        <is>
          <t xml:space="preserve">0,36</t>
        </is>
      </c>
      <c r="P466" t="inlineStr">
        <is>
          <t xml:space="preserve">4816148138422</t>
        </is>
      </c>
      <c r="Q466" s="3" t="str">
        <f>HYPERLINK("https://modify.by/img/258246505/1.webp","фото")</f>
        <v>фото</v>
      </c>
      <c r="R466" s="3" t="str">
        <f>HYPERLINK("https://modify.by/catalog/svitery/258246505/?utm_source=price&amp;utm_medium=xlsx","открыть")</f>
        <v>открыть</v>
      </c>
    </row>
    <row r="467">
      <c r="A467" t="inlineStr">
        <is>
          <t xml:space="preserve">Женский</t>
        </is>
      </c>
      <c r="B467" t="inlineStr">
        <is>
          <t xml:space="preserve">Свитеры</t>
        </is>
      </c>
      <c r="C467" t="inlineStr">
        <is>
          <t xml:space="preserve">Свитер вязаный с горлом, песочный</t>
        </is>
      </c>
      <c r="D467" t="inlineStr">
        <is>
          <t xml:space="preserve">SW42W04песочный</t>
        </is>
      </c>
      <c r="E467" t="inlineStr">
        <is>
          <t xml:space="preserve">песочный, светло-бежевый, светло-коричневый, кэмел</t>
        </is>
      </c>
      <c r="F467" t="inlineStr">
        <is>
          <t xml:space="preserve">46</t>
        </is>
      </c>
      <c r="G467">
        <v>9</v>
      </c>
      <c r="H467" s="2">
        <v>27.0</v>
      </c>
      <c r="I467" t="inlineStr">
        <is>
          <t xml:space="preserve">100% акрил</t>
        </is>
      </c>
      <c r="J467"/>
      <c r="K467" t="inlineStr">
        <is>
          <t xml:space="preserve">Бангладеш</t>
        </is>
      </c>
      <c r="L467" t="inlineStr">
        <is>
          <t xml:space="preserve">6110309900</t>
        </is>
      </c>
      <c r="M467" t="inlineStr">
        <is>
          <t xml:space="preserve">Декларация № ЕАЭС № BY/112 11.01. ТР017 122.01 08246, до 19.04.2028</t>
        </is>
      </c>
      <c r="N467" t="inlineStr">
        <is>
          <t xml:space="preserve">31 × 25 × 2</t>
        </is>
      </c>
      <c r="O467" t="inlineStr">
        <is>
          <t xml:space="preserve">0,36</t>
        </is>
      </c>
      <c r="P467" t="inlineStr">
        <is>
          <t xml:space="preserve">4816148138439</t>
        </is>
      </c>
      <c r="Q467" s="3" t="str">
        <f>HYPERLINK("https://modify.by/img/258246505/1.webp","фото")</f>
        <v>фото</v>
      </c>
      <c r="R467" s="3" t="str">
        <f>HYPERLINK("https://modify.by/catalog/svitery/258246505/?utm_source=price&amp;utm_medium=xlsx","открыть")</f>
        <v>открыть</v>
      </c>
    </row>
    <row r="468">
      <c r="A468" t="inlineStr">
        <is>
          <t xml:space="preserve">Женский</t>
        </is>
      </c>
      <c r="B468" t="inlineStr">
        <is>
          <t xml:space="preserve">Свитеры</t>
        </is>
      </c>
      <c r="C468" t="inlineStr">
        <is>
          <t xml:space="preserve">Свитер вязаный с горлом, песочный</t>
        </is>
      </c>
      <c r="D468" t="inlineStr">
        <is>
          <t xml:space="preserve">SW42W04песочный</t>
        </is>
      </c>
      <c r="E468" t="inlineStr">
        <is>
          <t xml:space="preserve">песочный, светло-бежевый, светло-коричневый, кэмел</t>
        </is>
      </c>
      <c r="F468" t="inlineStr">
        <is>
          <t xml:space="preserve">48</t>
        </is>
      </c>
      <c r="G468">
        <v>17</v>
      </c>
      <c r="H468" s="2">
        <v>27.0</v>
      </c>
      <c r="I468" t="inlineStr">
        <is>
          <t xml:space="preserve">100% акрил</t>
        </is>
      </c>
      <c r="J468"/>
      <c r="K468" t="inlineStr">
        <is>
          <t xml:space="preserve">Бангладеш</t>
        </is>
      </c>
      <c r="L468" t="inlineStr">
        <is>
          <t xml:space="preserve">6110309900</t>
        </is>
      </c>
      <c r="M468" t="inlineStr">
        <is>
          <t xml:space="preserve">Декларация № ЕАЭС № BY/112 11.01. ТР017 122.01 08246, до 19.04.2028</t>
        </is>
      </c>
      <c r="N468" t="inlineStr">
        <is>
          <t xml:space="preserve">31 × 25 × 2</t>
        </is>
      </c>
      <c r="O468" t="inlineStr">
        <is>
          <t xml:space="preserve">0,36</t>
        </is>
      </c>
      <c r="P468" t="inlineStr">
        <is>
          <t xml:space="preserve">4816148138446</t>
        </is>
      </c>
      <c r="Q468" s="3" t="str">
        <f>HYPERLINK("https://modify.by/img/258246505/1.webp","фото")</f>
        <v>фото</v>
      </c>
      <c r="R468" s="3" t="str">
        <f>HYPERLINK("https://modify.by/catalog/svitery/258246505/?utm_source=price&amp;utm_medium=xlsx","открыть")</f>
        <v>открыть</v>
      </c>
    </row>
    <row r="469">
      <c r="A469" t="inlineStr">
        <is>
          <t xml:space="preserve">Женский</t>
        </is>
      </c>
      <c r="B469" t="inlineStr">
        <is>
          <t xml:space="preserve">Свитеры</t>
        </is>
      </c>
      <c r="C469" t="inlineStr">
        <is>
          <t xml:space="preserve">Свитер вязаный с горлом, серый</t>
        </is>
      </c>
      <c r="D469" t="inlineStr">
        <is>
          <t xml:space="preserve">SW42W04серый</t>
        </is>
      </c>
      <c r="E469" t="inlineStr">
        <is>
          <t xml:space="preserve">серый</t>
        </is>
      </c>
      <c r="F469" t="inlineStr">
        <is>
          <t xml:space="preserve">44</t>
        </is>
      </c>
      <c r="G469">
        <v>11</v>
      </c>
      <c r="H469" s="2">
        <v>27.0</v>
      </c>
      <c r="I469" t="inlineStr">
        <is>
          <t xml:space="preserve">100% акрил</t>
        </is>
      </c>
      <c r="J469"/>
      <c r="K469" t="inlineStr">
        <is>
          <t xml:space="preserve">Бангладеш</t>
        </is>
      </c>
      <c r="L469" t="inlineStr">
        <is>
          <t xml:space="preserve">6110309900</t>
        </is>
      </c>
      <c r="M469" t="inlineStr">
        <is>
          <t xml:space="preserve">Декларация № ЕАЭС № BY/112 11.01. ТР017 122.01 08246, до 19.04.2028</t>
        </is>
      </c>
      <c r="N469" t="inlineStr">
        <is>
          <t xml:space="preserve">31 × 25 × 2</t>
        </is>
      </c>
      <c r="O469" t="inlineStr">
        <is>
          <t xml:space="preserve">0,36</t>
        </is>
      </c>
      <c r="P469" t="inlineStr">
        <is>
          <t xml:space="preserve">4816148138477</t>
        </is>
      </c>
      <c r="Q469" s="3" t="str">
        <f>HYPERLINK("https://modify.by/img/258246506/1.webp","фото")</f>
        <v>фото</v>
      </c>
      <c r="R469" s="3" t="str">
        <f>HYPERLINK("https://modify.by/catalog/svitery/258246506/?utm_source=price&amp;utm_medium=xlsx","открыть")</f>
        <v>открыть</v>
      </c>
    </row>
    <row r="470">
      <c r="A470" t="inlineStr">
        <is>
          <t xml:space="preserve">Женский</t>
        </is>
      </c>
      <c r="B470" t="inlineStr">
        <is>
          <t xml:space="preserve">Свитеры</t>
        </is>
      </c>
      <c r="C470" t="inlineStr">
        <is>
          <t xml:space="preserve">Свитер вязаный с горлом, серый</t>
        </is>
      </c>
      <c r="D470" t="inlineStr">
        <is>
          <t xml:space="preserve">SW42W04серый</t>
        </is>
      </c>
      <c r="E470" t="inlineStr">
        <is>
          <t xml:space="preserve">серый</t>
        </is>
      </c>
      <c r="F470" t="inlineStr">
        <is>
          <t xml:space="preserve">46</t>
        </is>
      </c>
      <c r="G470">
        <v>76</v>
      </c>
      <c r="H470" s="2">
        <v>27.0</v>
      </c>
      <c r="I470" t="inlineStr">
        <is>
          <t xml:space="preserve">100% акрил</t>
        </is>
      </c>
      <c r="J470"/>
      <c r="K470" t="inlineStr">
        <is>
          <t xml:space="preserve">Бангладеш</t>
        </is>
      </c>
      <c r="L470" t="inlineStr">
        <is>
          <t xml:space="preserve">6110309900</t>
        </is>
      </c>
      <c r="M470" t="inlineStr">
        <is>
          <t xml:space="preserve">Декларация № ЕАЭС № BY/112 11.01. ТР017 122.01 08246, до 19.04.2028</t>
        </is>
      </c>
      <c r="N470" t="inlineStr">
        <is>
          <t xml:space="preserve">31 × 25 × 2</t>
        </is>
      </c>
      <c r="O470" t="inlineStr">
        <is>
          <t xml:space="preserve">0,36</t>
        </is>
      </c>
      <c r="P470" t="inlineStr">
        <is>
          <t xml:space="preserve">4816148138484</t>
        </is>
      </c>
      <c r="Q470" s="3" t="str">
        <f>HYPERLINK("https://modify.by/img/258246506/1.webp","фото")</f>
        <v>фото</v>
      </c>
      <c r="R470" s="3" t="str">
        <f>HYPERLINK("https://modify.by/catalog/svitery/258246506/?utm_source=price&amp;utm_medium=xlsx","открыть")</f>
        <v>открыть</v>
      </c>
    </row>
    <row r="471">
      <c r="A471" t="inlineStr">
        <is>
          <t xml:space="preserve">Женский</t>
        </is>
      </c>
      <c r="B471" t="inlineStr">
        <is>
          <t xml:space="preserve">Свитеры</t>
        </is>
      </c>
      <c r="C471" t="inlineStr">
        <is>
          <t xml:space="preserve">Свитер вязаный с горлом, серый</t>
        </is>
      </c>
      <c r="D471" t="inlineStr">
        <is>
          <t xml:space="preserve">SW42W04серый</t>
        </is>
      </c>
      <c r="E471" t="inlineStr">
        <is>
          <t xml:space="preserve">серый</t>
        </is>
      </c>
      <c r="F471" t="inlineStr">
        <is>
          <t xml:space="preserve">48</t>
        </is>
      </c>
      <c r="G471">
        <v>40</v>
      </c>
      <c r="H471" s="2">
        <v>27.0</v>
      </c>
      <c r="I471" t="inlineStr">
        <is>
          <t xml:space="preserve">100% акрил</t>
        </is>
      </c>
      <c r="J471"/>
      <c r="K471" t="inlineStr">
        <is>
          <t xml:space="preserve">Бангладеш</t>
        </is>
      </c>
      <c r="L471" t="inlineStr">
        <is>
          <t xml:space="preserve">6110309900</t>
        </is>
      </c>
      <c r="M471" t="inlineStr">
        <is>
          <t xml:space="preserve">Декларация № ЕАЭС № BY/112 11.01. ТР017 122.01 08246, до 19.04.2028</t>
        </is>
      </c>
      <c r="N471" t="inlineStr">
        <is>
          <t xml:space="preserve">31 × 25 × 2</t>
        </is>
      </c>
      <c r="O471" t="inlineStr">
        <is>
          <t xml:space="preserve">0,36</t>
        </is>
      </c>
      <c r="P471" t="inlineStr">
        <is>
          <t xml:space="preserve">4816148138491</t>
        </is>
      </c>
      <c r="Q471" s="3" t="str">
        <f>HYPERLINK("https://modify.by/img/258246506/1.webp","фото")</f>
        <v>фото</v>
      </c>
      <c r="R471" s="3" t="str">
        <f>HYPERLINK("https://modify.by/catalog/svitery/258246506/?utm_source=price&amp;utm_medium=xlsx","открыть")</f>
        <v>открыть</v>
      </c>
    </row>
    <row r="472">
      <c r="A472" t="inlineStr">
        <is>
          <t xml:space="preserve">Женский</t>
        </is>
      </c>
      <c r="B472" t="inlineStr">
        <is>
          <t xml:space="preserve">Свитеры</t>
        </is>
      </c>
      <c r="C472" t="inlineStr">
        <is>
          <t xml:space="preserve">Свитер вязаный с горлом, черный</t>
        </is>
      </c>
      <c r="D472" t="inlineStr">
        <is>
          <t xml:space="preserve">SW42W04черный</t>
        </is>
      </c>
      <c r="E472" t="inlineStr">
        <is>
          <t xml:space="preserve">черный</t>
        </is>
      </c>
      <c r="F472" t="inlineStr">
        <is>
          <t xml:space="preserve">42</t>
        </is>
      </c>
      <c r="G472">
        <v>11</v>
      </c>
      <c r="H472" s="2">
        <v>27.0</v>
      </c>
      <c r="I472" t="inlineStr">
        <is>
          <t xml:space="preserve">100% акрил</t>
        </is>
      </c>
      <c r="J472"/>
      <c r="K472" t="inlineStr">
        <is>
          <t xml:space="preserve">Бангладеш</t>
        </is>
      </c>
      <c r="L472" t="inlineStr">
        <is>
          <t xml:space="preserve">6110309900</t>
        </is>
      </c>
      <c r="M472" t="inlineStr">
        <is>
          <t xml:space="preserve">Декларация № ЕАЭС № BY/112 11.01. ТР017 122.01 08246, до 19.04.2028</t>
        </is>
      </c>
      <c r="N472" t="inlineStr">
        <is>
          <t xml:space="preserve">31 × 25 × 2</t>
        </is>
      </c>
      <c r="O472" t="inlineStr">
        <is>
          <t xml:space="preserve">0,36</t>
        </is>
      </c>
      <c r="P472" t="inlineStr">
        <is>
          <t xml:space="preserve">4816148138361</t>
        </is>
      </c>
      <c r="Q472" s="3" t="str">
        <f>HYPERLINK("https://modify.by/img/258246504/1.webp","фото")</f>
        <v>фото</v>
      </c>
      <c r="R472" s="3" t="str">
        <f>HYPERLINK("https://modify.by/catalog/svitery/258246504/?utm_source=price&amp;utm_medium=xlsx","открыть")</f>
        <v>открыть</v>
      </c>
    </row>
    <row r="473">
      <c r="A473" t="inlineStr">
        <is>
          <t xml:space="preserve">Женский</t>
        </is>
      </c>
      <c r="B473" t="inlineStr">
        <is>
          <t xml:space="preserve">Свитеры</t>
        </is>
      </c>
      <c r="C473" t="inlineStr">
        <is>
          <t xml:space="preserve">Свитер вязаный с горлом, черный</t>
        </is>
      </c>
      <c r="D473" t="inlineStr">
        <is>
          <t xml:space="preserve">SW42W04черный</t>
        </is>
      </c>
      <c r="E473" t="inlineStr">
        <is>
          <t xml:space="preserve">черный</t>
        </is>
      </c>
      <c r="F473" t="inlineStr">
        <is>
          <t xml:space="preserve">44</t>
        </is>
      </c>
      <c r="G473">
        <v>103</v>
      </c>
      <c r="H473" s="2">
        <v>27.0</v>
      </c>
      <c r="I473" t="inlineStr">
        <is>
          <t xml:space="preserve">100% акрил</t>
        </is>
      </c>
      <c r="J473"/>
      <c r="K473" t="inlineStr">
        <is>
          <t xml:space="preserve">Бангладеш</t>
        </is>
      </c>
      <c r="L473" t="inlineStr">
        <is>
          <t xml:space="preserve">6110309900</t>
        </is>
      </c>
      <c r="M473" t="inlineStr">
        <is>
          <t xml:space="preserve">Декларация № ЕАЭС № BY/112 11.01. ТР017 122.01 08246, до 19.04.2028</t>
        </is>
      </c>
      <c r="N473" t="inlineStr">
        <is>
          <t xml:space="preserve">31 × 25 × 2</t>
        </is>
      </c>
      <c r="O473" t="inlineStr">
        <is>
          <t xml:space="preserve">0,36</t>
        </is>
      </c>
      <c r="P473" t="inlineStr">
        <is>
          <t xml:space="preserve">4816148138378</t>
        </is>
      </c>
      <c r="Q473" s="3" t="str">
        <f>HYPERLINK("https://modify.by/img/258246504/1.webp","фото")</f>
        <v>фото</v>
      </c>
      <c r="R473" s="3" t="str">
        <f>HYPERLINK("https://modify.by/catalog/svitery/258246504/?utm_source=price&amp;utm_medium=xlsx","открыть")</f>
        <v>открыть</v>
      </c>
    </row>
    <row r="474">
      <c r="A474" t="inlineStr">
        <is>
          <t xml:space="preserve">Женский</t>
        </is>
      </c>
      <c r="B474" t="inlineStr">
        <is>
          <t xml:space="preserve">Свитеры</t>
        </is>
      </c>
      <c r="C474" t="inlineStr">
        <is>
          <t xml:space="preserve">Свитер вязаный с горлом, черный</t>
        </is>
      </c>
      <c r="D474" t="inlineStr">
        <is>
          <t xml:space="preserve">SW42W04черный</t>
        </is>
      </c>
      <c r="E474" t="inlineStr">
        <is>
          <t xml:space="preserve">черный</t>
        </is>
      </c>
      <c r="F474" t="inlineStr">
        <is>
          <t xml:space="preserve">46</t>
        </is>
      </c>
      <c r="G474">
        <v>37</v>
      </c>
      <c r="H474" s="2">
        <v>27.0</v>
      </c>
      <c r="I474" t="inlineStr">
        <is>
          <t xml:space="preserve">100% акрил</t>
        </is>
      </c>
      <c r="J474"/>
      <c r="K474" t="inlineStr">
        <is>
          <t xml:space="preserve">Бангладеш</t>
        </is>
      </c>
      <c r="L474" t="inlineStr">
        <is>
          <t xml:space="preserve">6110309900</t>
        </is>
      </c>
      <c r="M474" t="inlineStr">
        <is>
          <t xml:space="preserve">Декларация № ЕАЭС № BY/112 11.01. ТР017 122.01 08246, до 19.04.2028</t>
        </is>
      </c>
      <c r="N474" t="inlineStr">
        <is>
          <t xml:space="preserve">31 × 25 × 2</t>
        </is>
      </c>
      <c r="O474" t="inlineStr">
        <is>
          <t xml:space="preserve">0,36</t>
        </is>
      </c>
      <c r="P474" t="inlineStr">
        <is>
          <t xml:space="preserve">4816148138385</t>
        </is>
      </c>
      <c r="Q474" s="3" t="str">
        <f>HYPERLINK("https://modify.by/img/258246504/1.webp","фото")</f>
        <v>фото</v>
      </c>
      <c r="R474" s="3" t="str">
        <f>HYPERLINK("https://modify.by/catalog/svitery/258246504/?utm_source=price&amp;utm_medium=xlsx","открыть")</f>
        <v>открыть</v>
      </c>
    </row>
    <row r="475">
      <c r="A475" t="inlineStr">
        <is>
          <t xml:space="preserve">Женский</t>
        </is>
      </c>
      <c r="B475" t="inlineStr">
        <is>
          <t xml:space="preserve">Свитеры</t>
        </is>
      </c>
      <c r="C475" t="inlineStr">
        <is>
          <t xml:space="preserve">Свитер вязаный с горлом, черный</t>
        </is>
      </c>
      <c r="D475" t="inlineStr">
        <is>
          <t xml:space="preserve">SW42W04черный</t>
        </is>
      </c>
      <c r="E475" t="inlineStr">
        <is>
          <t xml:space="preserve">черный</t>
        </is>
      </c>
      <c r="F475" t="inlineStr">
        <is>
          <t xml:space="preserve">48</t>
        </is>
      </c>
      <c r="G475">
        <v>1</v>
      </c>
      <c r="H475" s="2">
        <v>27.0</v>
      </c>
      <c r="I475" t="inlineStr">
        <is>
          <t xml:space="preserve">100% акрил</t>
        </is>
      </c>
      <c r="J475"/>
      <c r="K475" t="inlineStr">
        <is>
          <t xml:space="preserve">Бангладеш</t>
        </is>
      </c>
      <c r="L475" t="inlineStr">
        <is>
          <t xml:space="preserve">6110309900</t>
        </is>
      </c>
      <c r="M475" t="inlineStr">
        <is>
          <t xml:space="preserve">Декларация № ЕАЭС № BY/112 11.01. ТР017 122.01 08246, до 19.04.2028</t>
        </is>
      </c>
      <c r="N475" t="inlineStr">
        <is>
          <t xml:space="preserve">31 × 25 × 2</t>
        </is>
      </c>
      <c r="O475" t="inlineStr">
        <is>
          <t xml:space="preserve">0,36</t>
        </is>
      </c>
      <c r="P475" t="inlineStr">
        <is>
          <t xml:space="preserve">4816148138392</t>
        </is>
      </c>
      <c r="Q475" s="3" t="str">
        <f>HYPERLINK("https://modify.by/img/258246504/1.webp","фото")</f>
        <v>фото</v>
      </c>
      <c r="R475" s="3" t="str">
        <f>HYPERLINK("https://modify.by/catalog/svitery/258246504/?utm_source=price&amp;utm_medium=xlsx","открыть")</f>
        <v>открыть</v>
      </c>
    </row>
    <row r="476">
      <c r="A476" t="inlineStr">
        <is>
          <t xml:space="preserve">Женский</t>
        </is>
      </c>
      <c r="B476" t="inlineStr">
        <is>
          <t xml:space="preserve">Свитеры</t>
        </is>
      </c>
      <c r="C476" t="inlineStr">
        <is>
          <t xml:space="preserve">Свитер оверсайз больших размеров с V-вырезом</t>
        </is>
      </c>
      <c r="D476" t="inlineStr">
        <is>
          <t xml:space="preserve">JU62W02черный,белый</t>
        </is>
      </c>
      <c r="E476" t="inlineStr">
        <is>
          <t xml:space="preserve">черный, белый</t>
        </is>
      </c>
      <c r="F476" t="inlineStr">
        <is>
          <t xml:space="preserve">46</t>
        </is>
      </c>
      <c r="G476">
        <v>43</v>
      </c>
      <c r="H476" s="2">
        <v>31.0</v>
      </c>
      <c r="I476" t="inlineStr">
        <is>
          <t xml:space="preserve">вискоза 87%, ПЭ 11%, Эластан 2%</t>
        </is>
      </c>
      <c r="J476"/>
      <c r="K476" t="inlineStr">
        <is>
          <t xml:space="preserve">Бангладеш</t>
        </is>
      </c>
      <c r="L476" t="inlineStr">
        <is>
          <t xml:space="preserve">6110309900</t>
        </is>
      </c>
      <c r="M476" t="inlineStr">
        <is>
          <t xml:space="preserve">Декларация № ЕАЭС № BY/112 11.01. ТР017 122.01 08246, до 19.04.2028</t>
        </is>
      </c>
      <c r="N476" t="inlineStr">
        <is>
          <t xml:space="preserve">35 × 30 × 5</t>
        </is>
      </c>
      <c r="O476" t="inlineStr">
        <is>
          <t xml:space="preserve">0,48</t>
        </is>
      </c>
      <c r="P476" t="inlineStr">
        <is>
          <t xml:space="preserve">4816148171801</t>
        </is>
      </c>
      <c r="Q476" s="3" t="str">
        <f>HYPERLINK("https://modify.by/img/619904623/1.webp","фото")</f>
        <v>фото</v>
      </c>
      <c r="R476" s="3" t="str">
        <f>HYPERLINK("https://modify.by/catalog/svitery/619904623/?utm_source=price&amp;utm_medium=xlsx","открыть")</f>
        <v>открыть</v>
      </c>
    </row>
    <row r="477">
      <c r="A477" t="inlineStr">
        <is>
          <t xml:space="preserve">Женский</t>
        </is>
      </c>
      <c r="B477" t="inlineStr">
        <is>
          <t xml:space="preserve">Свитеры</t>
        </is>
      </c>
      <c r="C477" t="inlineStr">
        <is>
          <t xml:space="preserve">Свитер оверсайз больших размеров с V-вырезом</t>
        </is>
      </c>
      <c r="D477" t="inlineStr">
        <is>
          <t xml:space="preserve">JU62W02черный,белый</t>
        </is>
      </c>
      <c r="E477" t="inlineStr">
        <is>
          <t xml:space="preserve">черный, белый</t>
        </is>
      </c>
      <c r="F477" t="inlineStr">
        <is>
          <t xml:space="preserve">48</t>
        </is>
      </c>
      <c r="G477">
        <v>18</v>
      </c>
      <c r="H477" s="2">
        <v>31.0</v>
      </c>
      <c r="I477" t="inlineStr">
        <is>
          <t xml:space="preserve">вискоза 87%, ПЭ 11%, Эластан 2%</t>
        </is>
      </c>
      <c r="J477"/>
      <c r="K477" t="inlineStr">
        <is>
          <t xml:space="preserve">Бангладеш</t>
        </is>
      </c>
      <c r="L477" t="inlineStr">
        <is>
          <t xml:space="preserve">6110309900</t>
        </is>
      </c>
      <c r="M477" t="inlineStr">
        <is>
          <t xml:space="preserve">Декларация № ЕАЭС № BY/112 11.01. ТР017 122.01 08246, до 19.04.2028</t>
        </is>
      </c>
      <c r="N477" t="inlineStr">
        <is>
          <t xml:space="preserve">35 × 30 × 5</t>
        </is>
      </c>
      <c r="O477" t="inlineStr">
        <is>
          <t xml:space="preserve">0,48</t>
        </is>
      </c>
      <c r="P477" t="inlineStr">
        <is>
          <t xml:space="preserve">4816148171818</t>
        </is>
      </c>
      <c r="Q477" s="3" t="str">
        <f>HYPERLINK("https://modify.by/img/619904623/1.webp","фото")</f>
        <v>фото</v>
      </c>
      <c r="R477" s="3" t="str">
        <f>HYPERLINK("https://modify.by/catalog/svitery/619904623/?utm_source=price&amp;utm_medium=xlsx","открыть")</f>
        <v>открыть</v>
      </c>
    </row>
    <row r="478">
      <c r="A478" t="inlineStr">
        <is>
          <t xml:space="preserve">Женский</t>
        </is>
      </c>
      <c r="B478" t="inlineStr">
        <is>
          <t xml:space="preserve">Свитеры</t>
        </is>
      </c>
      <c r="C478" t="inlineStr">
        <is>
          <t xml:space="preserve">Свитер оверсайз больших размеров с V-вырезом</t>
        </is>
      </c>
      <c r="D478" t="inlineStr">
        <is>
          <t xml:space="preserve">JU62W02черный,белый</t>
        </is>
      </c>
      <c r="E478" t="inlineStr">
        <is>
          <t xml:space="preserve">черный, белый</t>
        </is>
      </c>
      <c r="F478" t="inlineStr">
        <is>
          <t xml:space="preserve">50</t>
        </is>
      </c>
      <c r="G478">
        <v>61</v>
      </c>
      <c r="H478" s="2">
        <v>31.0</v>
      </c>
      <c r="I478" t="inlineStr">
        <is>
          <t xml:space="preserve">вискоза 87%, ПЭ 11%, Эластан 2%</t>
        </is>
      </c>
      <c r="J478"/>
      <c r="K478" t="inlineStr">
        <is>
          <t xml:space="preserve">Бангладеш</t>
        </is>
      </c>
      <c r="L478" t="inlineStr">
        <is>
          <t xml:space="preserve">6110309900</t>
        </is>
      </c>
      <c r="M478" t="inlineStr">
        <is>
          <t xml:space="preserve">Декларация № ЕАЭС № BY/112 11.01. ТР017 122.01 08246, до 19.04.2028</t>
        </is>
      </c>
      <c r="N478" t="inlineStr">
        <is>
          <t xml:space="preserve">35 × 30 × 5</t>
        </is>
      </c>
      <c r="O478" t="inlineStr">
        <is>
          <t xml:space="preserve">0,48</t>
        </is>
      </c>
      <c r="P478" t="inlineStr">
        <is>
          <t xml:space="preserve">4816148171825</t>
        </is>
      </c>
      <c r="Q478" s="3" t="str">
        <f>HYPERLINK("https://modify.by/img/619904623/1.webp","фото")</f>
        <v>фото</v>
      </c>
      <c r="R478" s="3" t="str">
        <f>HYPERLINK("https://modify.by/catalog/svitery/619904623/?utm_source=price&amp;utm_medium=xlsx","открыть")</f>
        <v>открыть</v>
      </c>
    </row>
    <row r="479">
      <c r="A479" t="inlineStr">
        <is>
          <t xml:space="preserve">Женский</t>
        </is>
      </c>
      <c r="B479" t="inlineStr">
        <is>
          <t xml:space="preserve">Свитеры</t>
        </is>
      </c>
      <c r="C479" t="inlineStr">
        <is>
          <t xml:space="preserve">Свитер оверсайз больших размеров с V-вырезом</t>
        </is>
      </c>
      <c r="D479" t="inlineStr">
        <is>
          <t xml:space="preserve">JU62W02черный,белый</t>
        </is>
      </c>
      <c r="E479" t="inlineStr">
        <is>
          <t xml:space="preserve">черный, белый</t>
        </is>
      </c>
      <c r="F479" t="inlineStr">
        <is>
          <t xml:space="preserve">52</t>
        </is>
      </c>
      <c r="G479">
        <v>22</v>
      </c>
      <c r="H479" s="2">
        <v>31.0</v>
      </c>
      <c r="I479" t="inlineStr">
        <is>
          <t xml:space="preserve">вискоза 87%, ПЭ 11%, Эластан 2%</t>
        </is>
      </c>
      <c r="J479"/>
      <c r="K479" t="inlineStr">
        <is>
          <t xml:space="preserve">Бангладеш</t>
        </is>
      </c>
      <c r="L479" t="inlineStr">
        <is>
          <t xml:space="preserve">6110309900</t>
        </is>
      </c>
      <c r="M479" t="inlineStr">
        <is>
          <t xml:space="preserve">Декларация № ЕАЭС № BY/112 11.01. ТР017 122.01 08246, до 19.04.2028</t>
        </is>
      </c>
      <c r="N479" t="inlineStr">
        <is>
          <t xml:space="preserve">35 × 30 × 5</t>
        </is>
      </c>
      <c r="O479" t="inlineStr">
        <is>
          <t xml:space="preserve">0,48</t>
        </is>
      </c>
      <c r="P479" t="inlineStr">
        <is>
          <t xml:space="preserve">4816148171832</t>
        </is>
      </c>
      <c r="Q479" s="3" t="str">
        <f>HYPERLINK("https://modify.by/img/619904623/1.webp","фото")</f>
        <v>фото</v>
      </c>
      <c r="R479" s="3" t="str">
        <f>HYPERLINK("https://modify.by/catalog/svitery/619904623/?utm_source=price&amp;utm_medium=xlsx","открыть")</f>
        <v>открыть</v>
      </c>
    </row>
    <row r="480">
      <c r="A480" t="inlineStr">
        <is>
          <t xml:space="preserve">Женский</t>
        </is>
      </c>
      <c r="B480" t="inlineStr">
        <is>
          <t xml:space="preserve">Свитеры</t>
        </is>
      </c>
      <c r="C480" t="inlineStr">
        <is>
          <t xml:space="preserve">Свитер оверсайз больших размеров с V-вырезом</t>
        </is>
      </c>
      <c r="D480" t="inlineStr">
        <is>
          <t xml:space="preserve">JU62W02черный,белый</t>
        </is>
      </c>
      <c r="E480" t="inlineStr">
        <is>
          <t xml:space="preserve">черный, белый</t>
        </is>
      </c>
      <c r="F480" t="inlineStr">
        <is>
          <t xml:space="preserve">54</t>
        </is>
      </c>
      <c r="G480">
        <v>3</v>
      </c>
      <c r="H480" s="2">
        <v>31.0</v>
      </c>
      <c r="I480" t="inlineStr">
        <is>
          <t xml:space="preserve">вискоза 87%, ПЭ 11%, Эластан 2%</t>
        </is>
      </c>
      <c r="J480"/>
      <c r="K480" t="inlineStr">
        <is>
          <t xml:space="preserve">Бангладеш</t>
        </is>
      </c>
      <c r="L480" t="inlineStr">
        <is>
          <t xml:space="preserve">6110309900</t>
        </is>
      </c>
      <c r="M480" t="inlineStr">
        <is>
          <t xml:space="preserve">Декларация № ЕАЭС № BY/112 11.01. ТР017 122.01 08246, до 19.04.2028</t>
        </is>
      </c>
      <c r="N480" t="inlineStr">
        <is>
          <t xml:space="preserve">35 × 30 × 5</t>
        </is>
      </c>
      <c r="O480" t="inlineStr">
        <is>
          <t xml:space="preserve">0,48</t>
        </is>
      </c>
      <c r="P480" t="inlineStr">
        <is>
          <t xml:space="preserve">4816148171849</t>
        </is>
      </c>
      <c r="Q480" s="3" t="str">
        <f>HYPERLINK("https://modify.by/img/619904623/1.webp","фото")</f>
        <v>фото</v>
      </c>
      <c r="R480" s="3" t="str">
        <f>HYPERLINK("https://modify.by/catalog/svitery/619904623/?utm_source=price&amp;utm_medium=xlsx","открыть")</f>
        <v>открыть</v>
      </c>
    </row>
    <row r="481">
      <c r="A481" t="inlineStr">
        <is>
          <t xml:space="preserve">Женский</t>
        </is>
      </c>
      <c r="B481" t="inlineStr">
        <is>
          <t xml:space="preserve">Свитеры</t>
        </is>
      </c>
      <c r="C481" t="inlineStr">
        <is>
          <t xml:space="preserve">Свитер оверсайз больших размеров с V-вырезом</t>
        </is>
      </c>
      <c r="D481" t="inlineStr">
        <is>
          <t xml:space="preserve">JU62W02черный,белый</t>
        </is>
      </c>
      <c r="E481" t="inlineStr">
        <is>
          <t xml:space="preserve">черный, белый</t>
        </is>
      </c>
      <c r="F481" t="inlineStr">
        <is>
          <t xml:space="preserve">58</t>
        </is>
      </c>
      <c r="G481">
        <v>3</v>
      </c>
      <c r="H481" s="2">
        <v>31.0</v>
      </c>
      <c r="I481" t="inlineStr">
        <is>
          <t xml:space="preserve">вискоза 87%, ПЭ 11%, Эластан 2%</t>
        </is>
      </c>
      <c r="J481"/>
      <c r="K481" t="inlineStr">
        <is>
          <t xml:space="preserve">Бангладеш</t>
        </is>
      </c>
      <c r="L481" t="inlineStr">
        <is>
          <t xml:space="preserve">6110309900</t>
        </is>
      </c>
      <c r="M481" t="inlineStr">
        <is>
          <t xml:space="preserve">Декларация № ЕАЭС № BY/112 11.01. ТР017 122.01 08246, до 19.04.2028</t>
        </is>
      </c>
      <c r="N481" t="inlineStr">
        <is>
          <t xml:space="preserve">35 × 30 × 5</t>
        </is>
      </c>
      <c r="O481" t="inlineStr">
        <is>
          <t xml:space="preserve">0,48</t>
        </is>
      </c>
      <c r="P481" t="inlineStr">
        <is>
          <t xml:space="preserve">4816148171863</t>
        </is>
      </c>
      <c r="Q481" s="3" t="str">
        <f>HYPERLINK("https://modify.by/img/619904623/1.webp","фото")</f>
        <v>фото</v>
      </c>
      <c r="R481" s="3" t="str">
        <f>HYPERLINK("https://modify.by/catalog/svitery/619904623/?utm_source=price&amp;utm_medium=xlsx","открыть")</f>
        <v>открыть</v>
      </c>
    </row>
    <row r="482">
      <c r="A482" t="inlineStr">
        <is>
          <t xml:space="preserve">Женский</t>
        </is>
      </c>
      <c r="B482" t="inlineStr">
        <is>
          <t xml:space="preserve">Свитеры</t>
        </is>
      </c>
      <c r="C482" t="inlineStr">
        <is>
          <t xml:space="preserve">Свитер оверсайз розовый теплый</t>
        </is>
      </c>
      <c r="D482" t="inlineStr">
        <is>
          <t xml:space="preserve">SW42W06розовый</t>
        </is>
      </c>
      <c r="E482" t="inlineStr">
        <is>
          <t xml:space="preserve">розовый</t>
        </is>
      </c>
      <c r="F482" t="inlineStr">
        <is>
          <t xml:space="preserve">50</t>
        </is>
      </c>
      <c r="G482">
        <v>27</v>
      </c>
      <c r="H482" s="2">
        <v>28.0</v>
      </c>
      <c r="I482" t="inlineStr">
        <is>
          <t xml:space="preserve">52% акрил, 25% полиэстер, 14% полиамид, 9% шерсть</t>
        </is>
      </c>
      <c r="J482"/>
      <c r="K482" t="inlineStr">
        <is>
          <t xml:space="preserve">Бангладеш</t>
        </is>
      </c>
      <c r="L482" t="inlineStr">
        <is>
          <t xml:space="preserve">6110309900</t>
        </is>
      </c>
      <c r="M482" t="inlineStr">
        <is>
          <t xml:space="preserve">Декларация № ЕАЭС № BY/112 11.01. ТР017 122.01 08246, до 19.04.2028</t>
        </is>
      </c>
      <c r="N482" t="inlineStr">
        <is>
          <t xml:space="preserve">34 × 25 × 3</t>
        </is>
      </c>
      <c r="O482" t="inlineStr">
        <is>
          <t xml:space="preserve">0,45</t>
        </is>
      </c>
      <c r="P482" t="inlineStr">
        <is>
          <t xml:space="preserve">4816148138576</t>
        </is>
      </c>
      <c r="Q482" s="3" t="str">
        <f>HYPERLINK("https://modify.by/img/258246514/1.webp","фото")</f>
        <v>фото</v>
      </c>
      <c r="R482" s="3" t="str">
        <f>HYPERLINK("https://modify.by/catalog/svitery/258246514/?utm_source=price&amp;utm_medium=xlsx","открыть")</f>
        <v>открыть</v>
      </c>
    </row>
    <row r="483">
      <c r="A483" t="inlineStr">
        <is>
          <t xml:space="preserve">Женский</t>
        </is>
      </c>
      <c r="B483" t="inlineStr">
        <is>
          <t xml:space="preserve">Свитеры</t>
        </is>
      </c>
      <c r="C483" t="inlineStr">
        <is>
          <t xml:space="preserve">Свитер оверсайз розовый теплый</t>
        </is>
      </c>
      <c r="D483" t="inlineStr">
        <is>
          <t xml:space="preserve">SW42W06розовый</t>
        </is>
      </c>
      <c r="E483" t="inlineStr">
        <is>
          <t xml:space="preserve">розовый</t>
        </is>
      </c>
      <c r="F483" t="inlineStr">
        <is>
          <t xml:space="preserve">52</t>
        </is>
      </c>
      <c r="G483">
        <v>35</v>
      </c>
      <c r="H483" s="2">
        <v>28.0</v>
      </c>
      <c r="I483" t="inlineStr">
        <is>
          <t xml:space="preserve">52% акрил, 25% полиэстер, 14% полиамид, 9% шерсть</t>
        </is>
      </c>
      <c r="J483"/>
      <c r="K483" t="inlineStr">
        <is>
          <t xml:space="preserve">Бангладеш</t>
        </is>
      </c>
      <c r="L483" t="inlineStr">
        <is>
          <t xml:space="preserve">6110309900</t>
        </is>
      </c>
      <c r="M483" t="inlineStr">
        <is>
          <t xml:space="preserve">Декларация № ЕАЭС № BY/112 11.01. ТР017 122.01 08246, до 19.04.2028</t>
        </is>
      </c>
      <c r="N483" t="inlineStr">
        <is>
          <t xml:space="preserve">34 × 25 × 3</t>
        </is>
      </c>
      <c r="O483" t="inlineStr">
        <is>
          <t xml:space="preserve">0,45</t>
        </is>
      </c>
      <c r="P483" t="inlineStr">
        <is>
          <t xml:space="preserve">4816148138583</t>
        </is>
      </c>
      <c r="Q483" s="3" t="str">
        <f>HYPERLINK("https://modify.by/img/258246514/1.webp","фото")</f>
        <v>фото</v>
      </c>
      <c r="R483" s="3" t="str">
        <f>HYPERLINK("https://modify.by/catalog/svitery/258246514/?utm_source=price&amp;utm_medium=xlsx","открыть")</f>
        <v>открыть</v>
      </c>
    </row>
    <row r="484">
      <c r="A484" t="inlineStr">
        <is>
          <t xml:space="preserve">Женский</t>
        </is>
      </c>
      <c r="B484" t="inlineStr">
        <is>
          <t xml:space="preserve">Свитеры</t>
        </is>
      </c>
      <c r="C484" t="inlineStr">
        <is>
          <t xml:space="preserve">Свитер оверсайз с V-вырезом больших размеров</t>
        </is>
      </c>
      <c r="D484" t="inlineStr">
        <is>
          <t xml:space="preserve">JU62W02бежевый,черный</t>
        </is>
      </c>
      <c r="E484" t="inlineStr">
        <is>
          <t xml:space="preserve">бежевый, черный</t>
        </is>
      </c>
      <c r="F484" t="inlineStr">
        <is>
          <t xml:space="preserve">48</t>
        </is>
      </c>
      <c r="G484">
        <v>33</v>
      </c>
      <c r="H484" s="2">
        <v>31.0</v>
      </c>
      <c r="I484" t="inlineStr">
        <is>
          <t xml:space="preserve">вискоза 87%, ПЭ 11%, Эластан 2%</t>
        </is>
      </c>
      <c r="J484"/>
      <c r="K484" t="inlineStr">
        <is>
          <t xml:space="preserve">Бангладеш</t>
        </is>
      </c>
      <c r="L484" t="inlineStr">
        <is>
          <t xml:space="preserve">6110309900</t>
        </is>
      </c>
      <c r="M484" t="inlineStr">
        <is>
          <t xml:space="preserve">Декларация № ЕАЭС № BY/112 11.01. ТР017 122.01 08246, до 19.04.2028</t>
        </is>
      </c>
      <c r="N484" t="inlineStr">
        <is>
          <t xml:space="preserve">31 × 33 × 6</t>
        </is>
      </c>
      <c r="O484" t="inlineStr">
        <is>
          <t xml:space="preserve">0,48</t>
        </is>
      </c>
      <c r="P484" t="inlineStr">
        <is>
          <t xml:space="preserve">4816148171900</t>
        </is>
      </c>
      <c r="Q484" s="3" t="str">
        <f>HYPERLINK("https://modify.by/img/620159286/1.webp","фото")</f>
        <v>фото</v>
      </c>
      <c r="R484" s="3" t="str">
        <f>HYPERLINK("https://modify.by/catalog/svitery/620159286/?utm_source=price&amp;utm_medium=xlsx","открыть")</f>
        <v>открыть</v>
      </c>
    </row>
    <row r="485">
      <c r="A485" t="inlineStr">
        <is>
          <t xml:space="preserve">Женский</t>
        </is>
      </c>
      <c r="B485" t="inlineStr">
        <is>
          <t xml:space="preserve">Свитеры</t>
        </is>
      </c>
      <c r="C485" t="inlineStr">
        <is>
          <t xml:space="preserve">Свитер оверсайз с V-вырезом больших размеров</t>
        </is>
      </c>
      <c r="D485" t="inlineStr">
        <is>
          <t xml:space="preserve">JU62W02бежевый,черный</t>
        </is>
      </c>
      <c r="E485" t="inlineStr">
        <is>
          <t xml:space="preserve">бежевый, черный</t>
        </is>
      </c>
      <c r="F485" t="inlineStr">
        <is>
          <t xml:space="preserve">50</t>
        </is>
      </c>
      <c r="G485">
        <v>85</v>
      </c>
      <c r="H485" s="2">
        <v>31.0</v>
      </c>
      <c r="I485" t="inlineStr">
        <is>
          <t xml:space="preserve">вискоза 87%, ПЭ 11%, Эластан 2%</t>
        </is>
      </c>
      <c r="J485"/>
      <c r="K485" t="inlineStr">
        <is>
          <t xml:space="preserve">Бангладеш</t>
        </is>
      </c>
      <c r="L485" t="inlineStr">
        <is>
          <t xml:space="preserve">6110309900</t>
        </is>
      </c>
      <c r="M485" t="inlineStr">
        <is>
          <t xml:space="preserve">Декларация № ЕАЭС № BY/112 11.01. ТР017 122.01 08246, до 19.04.2028</t>
        </is>
      </c>
      <c r="N485" t="inlineStr">
        <is>
          <t xml:space="preserve">31 × 33 × 6</t>
        </is>
      </c>
      <c r="O485" t="inlineStr">
        <is>
          <t xml:space="preserve">0,48</t>
        </is>
      </c>
      <c r="P485" t="inlineStr">
        <is>
          <t xml:space="preserve">4816148171917</t>
        </is>
      </c>
      <c r="Q485" s="3" t="str">
        <f>HYPERLINK("https://modify.by/img/620159286/1.webp","фото")</f>
        <v>фото</v>
      </c>
      <c r="R485" s="3" t="str">
        <f>HYPERLINK("https://modify.by/catalog/svitery/620159286/?utm_source=price&amp;utm_medium=xlsx","открыть")</f>
        <v>открыть</v>
      </c>
    </row>
    <row r="486">
      <c r="A486" t="inlineStr">
        <is>
          <t xml:space="preserve">Женский</t>
        </is>
      </c>
      <c r="B486" t="inlineStr">
        <is>
          <t xml:space="preserve">Свитеры</t>
        </is>
      </c>
      <c r="C486" t="inlineStr">
        <is>
          <t xml:space="preserve">Свитер с глубоким V - вырезом больших размеров</t>
        </is>
      </c>
      <c r="D486" t="inlineStr">
        <is>
          <t xml:space="preserve">SW32W21горчичный</t>
        </is>
      </c>
      <c r="E486" t="inlineStr">
        <is>
          <t xml:space="preserve">горчичный</t>
        </is>
      </c>
      <c r="F486" t="inlineStr">
        <is>
          <t xml:space="preserve">56</t>
        </is>
      </c>
      <c r="G486">
        <v>2</v>
      </c>
      <c r="H486" s="2">
        <v>28.0</v>
      </c>
      <c r="I486" t="inlineStr">
        <is>
          <t xml:space="preserve">акрил 71% полиэстер 26% эластан 3%</t>
        </is>
      </c>
      <c r="J486"/>
      <c r="K486" t="inlineStr">
        <is>
          <t xml:space="preserve">Бангладеш</t>
        </is>
      </c>
      <c r="L486" t="inlineStr">
        <is>
          <t xml:space="preserve">6110309900</t>
        </is>
      </c>
      <c r="M486" t="inlineStr">
        <is>
          <t xml:space="preserve">по запросу</t>
        </is>
      </c>
      <c r="N486" t="inlineStr">
        <is>
          <t xml:space="preserve">35 × 27 × 3</t>
        </is>
      </c>
      <c r="O486" t="inlineStr">
        <is>
          <t xml:space="preserve">0,38</t>
        </is>
      </c>
      <c r="P486" t="inlineStr">
        <is>
          <t xml:space="preserve">2038096183732</t>
        </is>
      </c>
      <c r="Q486" s="3" t="str">
        <f>HYPERLINK("https://modify.by/img/193214996/1.webp","фото")</f>
        <v>фото</v>
      </c>
      <c r="R486" s="3" t="str">
        <f>HYPERLINK("https://modify.by/catalog/svitery/193214996/?utm_source=price&amp;utm_medium=xlsx","открыть")</f>
        <v>открыть</v>
      </c>
    </row>
    <row r="487">
      <c r="A487" t="inlineStr">
        <is>
          <t xml:space="preserve">Женский</t>
        </is>
      </c>
      <c r="B487" t="inlineStr">
        <is>
          <t xml:space="preserve">Свитеры</t>
        </is>
      </c>
      <c r="C487" t="inlineStr">
        <is>
          <t xml:space="preserve">Свитер с пайетками больших размеров</t>
        </is>
      </c>
      <c r="D487" t="inlineStr">
        <is>
          <t xml:space="preserve">SW32W20персиковый</t>
        </is>
      </c>
      <c r="E487" t="inlineStr">
        <is>
          <t xml:space="preserve">персиковый</t>
        </is>
      </c>
      <c r="F487" t="inlineStr">
        <is>
          <t xml:space="preserve">50</t>
        </is>
      </c>
      <c r="G487">
        <v>2</v>
      </c>
      <c r="H487" s="2">
        <v>31.0</v>
      </c>
      <c r="I487" t="inlineStr">
        <is>
          <t xml:space="preserve">акрил 38% нейлон 36% полиэстер 22% эластан 4%</t>
        </is>
      </c>
      <c r="J487"/>
      <c r="K487" t="inlineStr">
        <is>
          <t xml:space="preserve">Бангладеш</t>
        </is>
      </c>
      <c r="L487" t="inlineStr">
        <is>
          <t xml:space="preserve">6110309900</t>
        </is>
      </c>
      <c r="M487" t="inlineStr">
        <is>
          <t xml:space="preserve">Декларация № ЕАЭС № BY/112 11.01. ТР017 122.01 08246, до 19.04.2028</t>
        </is>
      </c>
      <c r="N487" t="inlineStr">
        <is>
          <t xml:space="preserve">36 × 28 × 3</t>
        </is>
      </c>
      <c r="O487" t="inlineStr">
        <is>
          <t xml:space="preserve">0,45</t>
        </is>
      </c>
      <c r="P487" t="inlineStr">
        <is>
          <t xml:space="preserve">2038096183596</t>
        </is>
      </c>
      <c r="Q487" s="3" t="str">
        <f>HYPERLINK("https://modify.by/img/193213865/1.webp","фото")</f>
        <v>фото</v>
      </c>
      <c r="R487" s="3" t="str">
        <f>HYPERLINK("https://modify.by/catalog/svitery/193213865/?utm_source=price&amp;utm_medium=xlsx","открыть")</f>
        <v>открыть</v>
      </c>
    </row>
    <row r="488">
      <c r="A488" t="inlineStr">
        <is>
          <t xml:space="preserve">Женский</t>
        </is>
      </c>
      <c r="B488" t="inlineStr">
        <is>
          <t xml:space="preserve">Свитеры</t>
        </is>
      </c>
      <c r="C488" t="inlineStr">
        <is>
          <t xml:space="preserve">Свитер теплый</t>
        </is>
      </c>
      <c r="D488" t="inlineStr">
        <is>
          <t xml:space="preserve">SW42W05бежевый</t>
        </is>
      </c>
      <c r="E488" t="inlineStr">
        <is>
          <t xml:space="preserve">бежевый</t>
        </is>
      </c>
      <c r="F488" t="inlineStr">
        <is>
          <t xml:space="preserve">48</t>
        </is>
      </c>
      <c r="G488">
        <v>1</v>
      </c>
      <c r="H488" s="2">
        <v>24.0</v>
      </c>
      <c r="I488" t="inlineStr">
        <is>
          <t xml:space="preserve">73% акрил 25% полиэстер 2% эластан</t>
        </is>
      </c>
      <c r="J488"/>
      <c r="K488" t="inlineStr">
        <is>
          <t xml:space="preserve">Бангладеш</t>
        </is>
      </c>
      <c r="L488" t="inlineStr">
        <is>
          <t xml:space="preserve">6110309900</t>
        </is>
      </c>
      <c r="M488" t="inlineStr">
        <is>
          <t xml:space="preserve">Декларация № ЕАЭС № BY/112 11.01. ТР017 122.01 08246, до 19.04.2028</t>
        </is>
      </c>
      <c r="N488" t="inlineStr">
        <is>
          <t xml:space="preserve">30 × 25 × 2</t>
        </is>
      </c>
      <c r="O488" t="inlineStr">
        <is>
          <t xml:space="preserve">0,37</t>
        </is>
      </c>
      <c r="P488" t="inlineStr">
        <is>
          <t xml:space="preserve">4816148149435</t>
        </is>
      </c>
      <c r="Q488" s="3" t="str">
        <f>HYPERLINK("https://modify.by/img/258246511/1.webp","фото")</f>
        <v>фото</v>
      </c>
      <c r="R488" s="3" t="str">
        <f>HYPERLINK("https://modify.by/catalog/svitery/258246511/?utm_source=price&amp;utm_medium=xlsx","открыть")</f>
        <v>открыть</v>
      </c>
    </row>
    <row r="489">
      <c r="A489" t="inlineStr">
        <is>
          <t xml:space="preserve">Женский</t>
        </is>
      </c>
      <c r="B489" t="inlineStr">
        <is>
          <t xml:space="preserve">Свитеры</t>
        </is>
      </c>
      <c r="C489" t="inlineStr">
        <is>
          <t xml:space="preserve">Свитер теплый с отложным воротником</t>
        </is>
      </c>
      <c r="D489" t="inlineStr">
        <is>
          <t xml:space="preserve">SW52W06коричневый</t>
        </is>
      </c>
      <c r="E489" t="inlineStr">
        <is>
          <t xml:space="preserve">кофе с молоком, светло-коричневый</t>
        </is>
      </c>
      <c r="F489" t="inlineStr">
        <is>
          <t xml:space="preserve">42</t>
        </is>
      </c>
      <c r="G489">
        <v>7</v>
      </c>
      <c r="H489" s="2">
        <v>39.0</v>
      </c>
      <c r="I489" t="inlineStr">
        <is>
          <t xml:space="preserve">50% акрил, 50% хлопок</t>
        </is>
      </c>
      <c r="J489"/>
      <c r="K489" t="inlineStr">
        <is>
          <t xml:space="preserve">Бангладеш</t>
        </is>
      </c>
      <c r="L489" t="inlineStr">
        <is>
          <t xml:space="preserve">6110309900</t>
        </is>
      </c>
      <c r="M489" t="inlineStr">
        <is>
          <t xml:space="preserve">Декларация № ЕАЭС № BY/112 11.01. ТР017 122.01 08246, до 19.04.2028</t>
        </is>
      </c>
      <c r="N489" t="inlineStr">
        <is>
          <t xml:space="preserve">33 × 27 × 3</t>
        </is>
      </c>
      <c r="O489" t="inlineStr">
        <is>
          <t xml:space="preserve">0,54</t>
        </is>
      </c>
      <c r="P489" t="inlineStr">
        <is>
          <t xml:space="preserve">4816148169778</t>
        </is>
      </c>
      <c r="Q489" s="3" t="str">
        <f>HYPERLINK("https://modify.by/img/532102649/1.webp","фото")</f>
        <v>фото</v>
      </c>
      <c r="R489" s="3" t="str">
        <f>HYPERLINK("https://modify.by/catalog/svitery/532102649/?utm_source=price&amp;utm_medium=xlsx","открыть")</f>
        <v>открыть</v>
      </c>
    </row>
    <row r="490">
      <c r="A490" t="inlineStr">
        <is>
          <t xml:space="preserve">Женский</t>
        </is>
      </c>
      <c r="B490" t="inlineStr">
        <is>
          <t xml:space="preserve">Свитеры</t>
        </is>
      </c>
      <c r="C490" t="inlineStr">
        <is>
          <t xml:space="preserve">Свитер теплый с отложным воротником</t>
        </is>
      </c>
      <c r="D490" t="inlineStr">
        <is>
          <t xml:space="preserve">SW52W06коричневый</t>
        </is>
      </c>
      <c r="E490" t="inlineStr">
        <is>
          <t xml:space="preserve">кофе с молоком, светло-коричневый</t>
        </is>
      </c>
      <c r="F490" t="inlineStr">
        <is>
          <t xml:space="preserve">44</t>
        </is>
      </c>
      <c r="G490">
        <v>19</v>
      </c>
      <c r="H490" s="2">
        <v>39.0</v>
      </c>
      <c r="I490" t="inlineStr">
        <is>
          <t xml:space="preserve">50% акрил, 50% хлопок</t>
        </is>
      </c>
      <c r="J490"/>
      <c r="K490" t="inlineStr">
        <is>
          <t xml:space="preserve">Бангладеш</t>
        </is>
      </c>
      <c r="L490" t="inlineStr">
        <is>
          <t xml:space="preserve">6110309900</t>
        </is>
      </c>
      <c r="M490" t="inlineStr">
        <is>
          <t xml:space="preserve">Декларация № ЕАЭС № BY/112 11.01. ТР017 122.01 08246, до 19.04.2028</t>
        </is>
      </c>
      <c r="N490" t="inlineStr">
        <is>
          <t xml:space="preserve">33 × 27 × 3</t>
        </is>
      </c>
      <c r="O490" t="inlineStr">
        <is>
          <t xml:space="preserve">0,54</t>
        </is>
      </c>
      <c r="P490" t="inlineStr">
        <is>
          <t xml:space="preserve">4816148169785</t>
        </is>
      </c>
      <c r="Q490" s="3" t="str">
        <f>HYPERLINK("https://modify.by/img/532102649/1.webp","фото")</f>
        <v>фото</v>
      </c>
      <c r="R490" s="3" t="str">
        <f>HYPERLINK("https://modify.by/catalog/svitery/532102649/?utm_source=price&amp;utm_medium=xlsx","открыть")</f>
        <v>открыть</v>
      </c>
    </row>
    <row r="491">
      <c r="A491" t="inlineStr">
        <is>
          <t xml:space="preserve">Женский</t>
        </is>
      </c>
      <c r="B491" t="inlineStr">
        <is>
          <t xml:space="preserve">Свитеры</t>
        </is>
      </c>
      <c r="C491" t="inlineStr">
        <is>
          <t xml:space="preserve">Свитер теплый с отложным воротником</t>
        </is>
      </c>
      <c r="D491" t="inlineStr">
        <is>
          <t xml:space="preserve">SW52W06коричневый</t>
        </is>
      </c>
      <c r="E491" t="inlineStr">
        <is>
          <t xml:space="preserve">кофе с молоком, светло-коричневый</t>
        </is>
      </c>
      <c r="F491" t="inlineStr">
        <is>
          <t xml:space="preserve">46</t>
        </is>
      </c>
      <c r="G491">
        <v>58</v>
      </c>
      <c r="H491" s="2">
        <v>39.0</v>
      </c>
      <c r="I491" t="inlineStr">
        <is>
          <t xml:space="preserve">50% акрил, 50% хлопок</t>
        </is>
      </c>
      <c r="J491"/>
      <c r="K491" t="inlineStr">
        <is>
          <t xml:space="preserve">Бангладеш</t>
        </is>
      </c>
      <c r="L491" t="inlineStr">
        <is>
          <t xml:space="preserve">6110309900</t>
        </is>
      </c>
      <c r="M491" t="inlineStr">
        <is>
          <t xml:space="preserve">Декларация № ЕАЭС № BY/112 11.01. ТР017 122.01 08246, до 19.04.2028</t>
        </is>
      </c>
      <c r="N491" t="inlineStr">
        <is>
          <t xml:space="preserve">33 × 27 × 3</t>
        </is>
      </c>
      <c r="O491" t="inlineStr">
        <is>
          <t xml:space="preserve">0,54</t>
        </is>
      </c>
      <c r="P491" t="inlineStr">
        <is>
          <t xml:space="preserve">4816148169792</t>
        </is>
      </c>
      <c r="Q491" s="3" t="str">
        <f>HYPERLINK("https://modify.by/img/532102649/1.webp","фото")</f>
        <v>фото</v>
      </c>
      <c r="R491" s="3" t="str">
        <f>HYPERLINK("https://modify.by/catalog/svitery/532102649/?utm_source=price&amp;utm_medium=xlsx","открыть")</f>
        <v>открыть</v>
      </c>
    </row>
    <row r="492">
      <c r="A492" t="inlineStr">
        <is>
          <t xml:space="preserve">Женский</t>
        </is>
      </c>
      <c r="B492" t="inlineStr">
        <is>
          <t xml:space="preserve">Свитеры</t>
        </is>
      </c>
      <c r="C492" t="inlineStr">
        <is>
          <t xml:space="preserve">Свитер теплый с отложным воротником</t>
        </is>
      </c>
      <c r="D492" t="inlineStr">
        <is>
          <t xml:space="preserve">SW52W06коричневый</t>
        </is>
      </c>
      <c r="E492" t="inlineStr">
        <is>
          <t xml:space="preserve">кофе с молоком, светло-коричневый</t>
        </is>
      </c>
      <c r="F492" t="inlineStr">
        <is>
          <t xml:space="preserve">48</t>
        </is>
      </c>
      <c r="G492">
        <v>20</v>
      </c>
      <c r="H492" s="2">
        <v>39.0</v>
      </c>
      <c r="I492" t="inlineStr">
        <is>
          <t xml:space="preserve">50% акрил, 50% хлопок</t>
        </is>
      </c>
      <c r="J492"/>
      <c r="K492" t="inlineStr">
        <is>
          <t xml:space="preserve">Бангладеш</t>
        </is>
      </c>
      <c r="L492" t="inlineStr">
        <is>
          <t xml:space="preserve">6110309900</t>
        </is>
      </c>
      <c r="M492" t="inlineStr">
        <is>
          <t xml:space="preserve">Декларация № ЕАЭС № BY/112 11.01. ТР017 122.01 08246, до 19.04.2028</t>
        </is>
      </c>
      <c r="N492" t="inlineStr">
        <is>
          <t xml:space="preserve">33 × 27 × 3</t>
        </is>
      </c>
      <c r="O492" t="inlineStr">
        <is>
          <t xml:space="preserve">0,54</t>
        </is>
      </c>
      <c r="P492" t="inlineStr">
        <is>
          <t xml:space="preserve">4816148169808</t>
        </is>
      </c>
      <c r="Q492" s="3" t="str">
        <f>HYPERLINK("https://modify.by/img/532102649/1.webp","фото")</f>
        <v>фото</v>
      </c>
      <c r="R492" s="3" t="str">
        <f>HYPERLINK("https://modify.by/catalog/svitery/532102649/?utm_source=price&amp;utm_medium=xlsx","открыть")</f>
        <v>открыть</v>
      </c>
    </row>
    <row r="493">
      <c r="A493" t="inlineStr">
        <is>
          <t xml:space="preserve">Женский</t>
        </is>
      </c>
      <c r="B493" t="inlineStr">
        <is>
          <t xml:space="preserve">Свитеры</t>
        </is>
      </c>
      <c r="C493" t="inlineStr">
        <is>
          <t xml:space="preserve">Свитер теплый укороченный</t>
        </is>
      </c>
      <c r="D493" t="inlineStr">
        <is>
          <t xml:space="preserve">SW52W05сиреневый</t>
        </is>
      </c>
      <c r="E493" t="inlineStr">
        <is>
          <t xml:space="preserve">светло-сиреневый, светло-серый</t>
        </is>
      </c>
      <c r="F493" t="inlineStr">
        <is>
          <t xml:space="preserve">44</t>
        </is>
      </c>
      <c r="G493">
        <v>53</v>
      </c>
      <c r="H493" s="2">
        <v>27.0</v>
      </c>
      <c r="I493"/>
      <c r="J493"/>
      <c r="K493" t="inlineStr">
        <is>
          <t xml:space="preserve">Бангладеш</t>
        </is>
      </c>
      <c r="L493" t="inlineStr">
        <is>
          <t xml:space="preserve">6110309900</t>
        </is>
      </c>
      <c r="M493" t="inlineStr">
        <is>
          <t xml:space="preserve">Декларация № ЕАЭС № BY/112 11.01. ТР017 122.01 08246, до 19.04.2028</t>
        </is>
      </c>
      <c r="N493" t="inlineStr">
        <is>
          <t xml:space="preserve">35 × 26 × 3</t>
        </is>
      </c>
      <c r="O493" t="inlineStr">
        <is>
          <t xml:space="preserve">0,22</t>
        </is>
      </c>
      <c r="P493" t="inlineStr">
        <is>
          <t xml:space="preserve">4816148164506</t>
        </is>
      </c>
      <c r="Q493" s="3" t="str">
        <f>HYPERLINK("https://modify.by/img/553217740/1.webp","фото")</f>
        <v>фото</v>
      </c>
      <c r="R493" s="3" t="str">
        <f>HYPERLINK("https://modify.by/catalog/svitery/553217740/?utm_source=price&amp;utm_medium=xlsx","открыть")</f>
        <v>открыть</v>
      </c>
    </row>
    <row r="494">
      <c r="A494" t="inlineStr">
        <is>
          <t xml:space="preserve">Женский</t>
        </is>
      </c>
      <c r="B494" t="inlineStr">
        <is>
          <t xml:space="preserve">Свитеры</t>
        </is>
      </c>
      <c r="C494" t="inlineStr">
        <is>
          <t xml:space="preserve">Свитер теплый укороченный</t>
        </is>
      </c>
      <c r="D494" t="inlineStr">
        <is>
          <t xml:space="preserve">SW52W05сиреневый</t>
        </is>
      </c>
      <c r="E494" t="inlineStr">
        <is>
          <t xml:space="preserve">светло-сиреневый, светло-серый</t>
        </is>
      </c>
      <c r="F494" t="inlineStr">
        <is>
          <t xml:space="preserve">46</t>
        </is>
      </c>
      <c r="G494">
        <v>43</v>
      </c>
      <c r="H494" s="2">
        <v>27.0</v>
      </c>
      <c r="I494"/>
      <c r="J494"/>
      <c r="K494" t="inlineStr">
        <is>
          <t xml:space="preserve">Бангладеш</t>
        </is>
      </c>
      <c r="L494" t="inlineStr">
        <is>
          <t xml:space="preserve">6110309900</t>
        </is>
      </c>
      <c r="M494" t="inlineStr">
        <is>
          <t xml:space="preserve">Декларация № ЕАЭС № BY/112 11.01. ТР017 122.01 08246, до 19.04.2028</t>
        </is>
      </c>
      <c r="N494" t="inlineStr">
        <is>
          <t xml:space="preserve">35 × 26 × 3</t>
        </is>
      </c>
      <c r="O494" t="inlineStr">
        <is>
          <t xml:space="preserve">0,22</t>
        </is>
      </c>
      <c r="P494" t="inlineStr">
        <is>
          <t xml:space="preserve">4816148164513</t>
        </is>
      </c>
      <c r="Q494" s="3" t="str">
        <f>HYPERLINK("https://modify.by/img/553217740/1.webp","фото")</f>
        <v>фото</v>
      </c>
      <c r="R494" s="3" t="str">
        <f>HYPERLINK("https://modify.by/catalog/svitery/553217740/?utm_source=price&amp;utm_medium=xlsx","открыть")</f>
        <v>открыть</v>
      </c>
    </row>
    <row r="495">
      <c r="A495" t="inlineStr">
        <is>
          <t xml:space="preserve">Женский</t>
        </is>
      </c>
      <c r="B495" t="inlineStr">
        <is>
          <t xml:space="preserve">Свитеры</t>
        </is>
      </c>
      <c r="C495" t="inlineStr">
        <is>
          <t xml:space="preserve">Свитер теплый укороченный</t>
        </is>
      </c>
      <c r="D495" t="inlineStr">
        <is>
          <t xml:space="preserve">SW52W05сиреневый</t>
        </is>
      </c>
      <c r="E495" t="inlineStr">
        <is>
          <t xml:space="preserve">светло-сиреневый, светло-серый</t>
        </is>
      </c>
      <c r="F495" t="inlineStr">
        <is>
          <t xml:space="preserve">48</t>
        </is>
      </c>
      <c r="G495">
        <v>35</v>
      </c>
      <c r="H495" s="2">
        <v>27.0</v>
      </c>
      <c r="I495"/>
      <c r="J495"/>
      <c r="K495" t="inlineStr">
        <is>
          <t xml:space="preserve">Бангладеш</t>
        </is>
      </c>
      <c r="L495" t="inlineStr">
        <is>
          <t xml:space="preserve">6110309900</t>
        </is>
      </c>
      <c r="M495" t="inlineStr">
        <is>
          <t xml:space="preserve">Декларация № ЕАЭС № BY/112 11.01. ТР017 122.01 08246, до 19.04.2028</t>
        </is>
      </c>
      <c r="N495" t="inlineStr">
        <is>
          <t xml:space="preserve">35 × 26 × 3</t>
        </is>
      </c>
      <c r="O495" t="inlineStr">
        <is>
          <t xml:space="preserve">0,22</t>
        </is>
      </c>
      <c r="P495" t="inlineStr">
        <is>
          <t xml:space="preserve">4816148164520</t>
        </is>
      </c>
      <c r="Q495" s="3" t="str">
        <f>HYPERLINK("https://modify.by/img/553217740/1.webp","фото")</f>
        <v>фото</v>
      </c>
      <c r="R495" s="3" t="str">
        <f>HYPERLINK("https://modify.by/catalog/svitery/553217740/?utm_source=price&amp;utm_medium=xlsx","открыть")</f>
        <v>открыть</v>
      </c>
    </row>
    <row r="496">
      <c r="A496" t="inlineStr">
        <is>
          <t xml:space="preserve">Женский</t>
        </is>
      </c>
      <c r="B496" t="inlineStr">
        <is>
          <t xml:space="preserve">Свитеры</t>
        </is>
      </c>
      <c r="C496" t="inlineStr">
        <is>
          <t xml:space="preserve">Свитер теплый укороченный</t>
        </is>
      </c>
      <c r="D496" t="inlineStr">
        <is>
          <t xml:space="preserve">SW52W05сиреневый</t>
        </is>
      </c>
      <c r="E496" t="inlineStr">
        <is>
          <t xml:space="preserve">светло-сиреневый, светло-серый</t>
        </is>
      </c>
      <c r="F496" t="inlineStr">
        <is>
          <t xml:space="preserve">50</t>
        </is>
      </c>
      <c r="G496">
        <v>38</v>
      </c>
      <c r="H496" s="2">
        <v>27.0</v>
      </c>
      <c r="I496"/>
      <c r="J496"/>
      <c r="K496" t="inlineStr">
        <is>
          <t xml:space="preserve">Бангладеш</t>
        </is>
      </c>
      <c r="L496" t="inlineStr">
        <is>
          <t xml:space="preserve">6110309900</t>
        </is>
      </c>
      <c r="M496" t="inlineStr">
        <is>
          <t xml:space="preserve">Декларация № ЕАЭС № BY/112 11.01. ТР017 122.01 08246, до 19.04.2028</t>
        </is>
      </c>
      <c r="N496" t="inlineStr">
        <is>
          <t xml:space="preserve">35 × 26 × 3</t>
        </is>
      </c>
      <c r="O496" t="inlineStr">
        <is>
          <t xml:space="preserve">0,22</t>
        </is>
      </c>
      <c r="P496" t="inlineStr">
        <is>
          <t xml:space="preserve">4816148164537</t>
        </is>
      </c>
      <c r="Q496" s="3" t="str">
        <f>HYPERLINK("https://modify.by/img/553217740/1.webp","фото")</f>
        <v>фото</v>
      </c>
      <c r="R496" s="3" t="str">
        <f>HYPERLINK("https://modify.by/catalog/svitery/553217740/?utm_source=price&amp;utm_medium=xlsx","открыть")</f>
        <v>открыть</v>
      </c>
    </row>
    <row r="497">
      <c r="A497" t="inlineStr">
        <is>
          <t xml:space="preserve">Женский</t>
        </is>
      </c>
      <c r="B497" t="inlineStr">
        <is>
          <t xml:space="preserve">Свитеры</t>
        </is>
      </c>
      <c r="C497" t="inlineStr">
        <is>
          <t xml:space="preserve">Хлопковый свитер оверсайз полосатый</t>
        </is>
      </c>
      <c r="D497" t="inlineStr">
        <is>
          <t xml:space="preserve">SW32W01Серый</t>
        </is>
      </c>
      <c r="E497" t="inlineStr">
        <is>
          <t xml:space="preserve">серый</t>
        </is>
      </c>
      <c r="F497" t="inlineStr">
        <is>
          <t xml:space="preserve">56/170</t>
        </is>
      </c>
      <c r="G497">
        <v>1</v>
      </c>
      <c r="H497" s="2">
        <v>30.0</v>
      </c>
      <c r="I497" t="inlineStr">
        <is>
          <t xml:space="preserve">хлопок 60% акрил 40%</t>
        </is>
      </c>
      <c r="J497"/>
      <c r="K497" t="inlineStr">
        <is>
          <t xml:space="preserve">Бангладеш</t>
        </is>
      </c>
      <c r="L497" t="inlineStr">
        <is>
          <t xml:space="preserve">6110209900</t>
        </is>
      </c>
      <c r="M497" t="inlineStr">
        <is>
          <t xml:space="preserve">Декларация № ЕАЭС № BY/112 11.01. ТР017 122.01 08246, до 19.04.2028</t>
        </is>
      </c>
      <c r="N497" t="inlineStr">
        <is>
          <t xml:space="preserve">36 × 30 × 4</t>
        </is>
      </c>
      <c r="O497" t="inlineStr">
        <is>
          <t xml:space="preserve">0,65</t>
        </is>
      </c>
      <c r="P497" t="inlineStr">
        <is>
          <t xml:space="preserve">2026620780113</t>
        </is>
      </c>
      <c r="Q497" s="3" t="str">
        <f>HYPERLINK("https://modify.by/img/150464059/1.webp","фото")</f>
        <v>фото</v>
      </c>
      <c r="R497" s="3" t="str">
        <f>HYPERLINK("https://modify.by/catalog/svitery/150464059/?utm_source=price&amp;utm_medium=xlsx","открыть")</f>
        <v>открыть</v>
      </c>
    </row>
    <row r="498">
      <c r="A498" t="inlineStr">
        <is>
          <t xml:space="preserve">Женский</t>
        </is>
      </c>
      <c r="B498" t="inlineStr">
        <is>
          <t xml:space="preserve">Свитеры</t>
        </is>
      </c>
      <c r="C498" t="inlineStr">
        <is>
          <t xml:space="preserve">Хлопковый свитер оверсайз полосатый</t>
        </is>
      </c>
      <c r="D498" t="inlineStr">
        <is>
          <t xml:space="preserve">SW32W01Серый</t>
        </is>
      </c>
      <c r="E498" t="inlineStr">
        <is>
          <t xml:space="preserve">серый</t>
        </is>
      </c>
      <c r="F498" t="inlineStr">
        <is>
          <t xml:space="preserve">56/170</t>
        </is>
      </c>
      <c r="G498">
        <v>1</v>
      </c>
      <c r="H498" s="2">
        <v>30.0</v>
      </c>
      <c r="I498" t="inlineStr">
        <is>
          <t xml:space="preserve">хлопок 60% акрил 40%</t>
        </is>
      </c>
      <c r="J498"/>
      <c r="K498" t="inlineStr">
        <is>
          <t xml:space="preserve">Бангладеш</t>
        </is>
      </c>
      <c r="L498" t="inlineStr">
        <is>
          <t xml:space="preserve">6110209900</t>
        </is>
      </c>
      <c r="M498" t="inlineStr">
        <is>
          <t xml:space="preserve">Декларация № ЕАЭС № BY/112 11.01. ТР017 122.01 08246, до 19.04.2028</t>
        </is>
      </c>
      <c r="N498" t="inlineStr">
        <is>
          <t xml:space="preserve">36 × 30 × 4</t>
        </is>
      </c>
      <c r="O498" t="inlineStr">
        <is>
          <t xml:space="preserve">0,65</t>
        </is>
      </c>
      <c r="P498" t="inlineStr">
        <is>
          <t xml:space="preserve">4816148176493</t>
        </is>
      </c>
      <c r="Q498" s="3" t="str">
        <f>HYPERLINK("https://modify.by/img/150464059/1.webp","фото")</f>
        <v>фото</v>
      </c>
      <c r="R498" s="3" t="str">
        <f>HYPERLINK("https://modify.by/catalog/svitery/150464059/?utm_source=price&amp;utm_medium=xlsx","открыть")</f>
        <v>открыть</v>
      </c>
    </row>
    <row r="499">
      <c r="A499" t="inlineStr">
        <is>
          <t xml:space="preserve">Женский</t>
        </is>
      </c>
      <c r="B499" t="inlineStr">
        <is>
          <t xml:space="preserve">Свитеры</t>
        </is>
      </c>
      <c r="C499" t="inlineStr">
        <is>
          <t xml:space="preserve">мягкий пушистый свитер оверсайз</t>
        </is>
      </c>
      <c r="D499" t="inlineStr">
        <is>
          <t xml:space="preserve">SW32W03Молочный</t>
        </is>
      </c>
      <c r="E499" t="inlineStr">
        <is>
          <t xml:space="preserve">молочный</t>
        </is>
      </c>
      <c r="F499" t="inlineStr">
        <is>
          <t xml:space="preserve">50-170</t>
        </is>
      </c>
      <c r="G499">
        <v>3</v>
      </c>
      <c r="H499" s="2">
        <v>29.0</v>
      </c>
      <c r="I499" t="inlineStr">
        <is>
          <t xml:space="preserve">акрил 100%</t>
        </is>
      </c>
      <c r="J499"/>
      <c r="K499" t="inlineStr">
        <is>
          <t xml:space="preserve">Бангладеш</t>
        </is>
      </c>
      <c r="L499" t="inlineStr">
        <is>
          <t xml:space="preserve">6110309900</t>
        </is>
      </c>
      <c r="M499" t="inlineStr">
        <is>
          <t xml:space="preserve">Декларация № ЕАЭС № BY/112 11.01. ТР017 122.01 08246, до 19.04.2028</t>
        </is>
      </c>
      <c r="N499" t="inlineStr">
        <is>
          <t xml:space="preserve">39 × 30 × 5</t>
        </is>
      </c>
      <c r="O499" t="inlineStr">
        <is>
          <t xml:space="preserve">0,42</t>
        </is>
      </c>
      <c r="P499" t="inlineStr">
        <is>
          <t xml:space="preserve">2026620772163</t>
        </is>
      </c>
      <c r="Q499" s="3" t="str">
        <f>HYPERLINK("https://modify.by/img/152408931/1.webp","фото")</f>
        <v>фото</v>
      </c>
      <c r="R499" s="3" t="str">
        <f>HYPERLINK("https://modify.by/catalog/svitery/152408931/?utm_source=price&amp;utm_medium=xlsx","открыть")</f>
        <v>открыть</v>
      </c>
    </row>
    <row r="500">
      <c r="A500" t="inlineStr">
        <is>
          <t xml:space="preserve">Женский</t>
        </is>
      </c>
      <c r="B500" t="inlineStr">
        <is>
          <t xml:space="preserve">Свитеры</t>
        </is>
      </c>
      <c r="C500" t="inlineStr">
        <is>
          <t xml:space="preserve">мягкий пушистый свитер оверсайз</t>
        </is>
      </c>
      <c r="D500" t="inlineStr">
        <is>
          <t xml:space="preserve">SW32W03Молочный</t>
        </is>
      </c>
      <c r="E500" t="inlineStr">
        <is>
          <t xml:space="preserve">молочный</t>
        </is>
      </c>
      <c r="F500" t="inlineStr">
        <is>
          <t xml:space="preserve">50-170</t>
        </is>
      </c>
      <c r="G500">
        <v>3</v>
      </c>
      <c r="H500" s="2">
        <v>29.0</v>
      </c>
      <c r="I500" t="inlineStr">
        <is>
          <t xml:space="preserve">акрил 100%</t>
        </is>
      </c>
      <c r="J500"/>
      <c r="K500" t="inlineStr">
        <is>
          <t xml:space="preserve">Бангладеш</t>
        </is>
      </c>
      <c r="L500" t="inlineStr">
        <is>
          <t xml:space="preserve">6110309900</t>
        </is>
      </c>
      <c r="M500" t="inlineStr">
        <is>
          <t xml:space="preserve">Декларация № ЕАЭС № BY/112 11.01. ТР017 122.01 08246, до 19.04.2028</t>
        </is>
      </c>
      <c r="N500" t="inlineStr">
        <is>
          <t xml:space="preserve">39 × 30 × 5</t>
        </is>
      </c>
      <c r="O500" t="inlineStr">
        <is>
          <t xml:space="preserve">0,42</t>
        </is>
      </c>
      <c r="P500" t="inlineStr">
        <is>
          <t xml:space="preserve">4816148145000</t>
        </is>
      </c>
      <c r="Q500" s="3" t="str">
        <f>HYPERLINK("https://modify.by/img/152408931/1.webp","фото")</f>
        <v>фото</v>
      </c>
      <c r="R500" s="3" t="str">
        <f>HYPERLINK("https://modify.by/catalog/svitery/152408931/?utm_source=price&amp;utm_medium=xlsx","открыть")</f>
        <v>открыть</v>
      </c>
    </row>
    <row r="501">
      <c r="A501" t="inlineStr">
        <is>
          <t xml:space="preserve">Женский</t>
        </is>
      </c>
      <c r="B501" t="inlineStr">
        <is>
          <t xml:space="preserve">Тапочки</t>
        </is>
      </c>
      <c r="C501" t="inlineStr">
        <is>
          <t xml:space="preserve">Тапочки резиновые утепленные сабо ЭВА</t>
        </is>
      </c>
      <c r="D501" t="inlineStr">
        <is>
          <t xml:space="preserve">LDN1262белый36</t>
        </is>
      </c>
      <c r="E501" t="inlineStr">
        <is>
          <t xml:space="preserve">молочный, белый</t>
        </is>
      </c>
      <c r="F501" t="inlineStr">
        <is>
          <t xml:space="preserve">37</t>
        </is>
      </c>
      <c r="G501">
        <v>1</v>
      </c>
      <c r="H501" s="2">
        <v>40.0</v>
      </c>
      <c r="I501" t="inlineStr">
        <is>
          <t xml:space="preserve">ПВХ100%</t>
        </is>
      </c>
      <c r="J501" t="inlineStr">
        <is>
          <t xml:space="preserve">зима</t>
        </is>
      </c>
      <c r="K501" t="inlineStr">
        <is>
          <t xml:space="preserve">Китай</t>
        </is>
      </c>
      <c r="L501" t="inlineStr">
        <is>
          <t xml:space="preserve">6401990000</t>
        </is>
      </c>
      <c r="M501" t="inlineStr">
        <is>
          <t xml:space="preserve">Декларация № ЕАЭС KG417/533.Д.0004548, до 27.03.2029</t>
        </is>
      </c>
      <c r="N501" t="inlineStr">
        <is>
          <t xml:space="preserve">32 × 27 × 14</t>
        </is>
      </c>
      <c r="O501" t="inlineStr">
        <is>
          <t xml:space="preserve">0,68</t>
        </is>
      </c>
      <c r="P501" t="inlineStr">
        <is>
          <t xml:space="preserve">2038096206981</t>
        </is>
      </c>
      <c r="Q501" s="3" t="str">
        <f>HYPERLINK("https://modify.by/img/227803950/1.webp","фото")</f>
        <v>фото</v>
      </c>
      <c r="R501" s="3" t="str">
        <f>HYPERLINK("https://modify.by/catalog/tapochki/227803950/?utm_source=price&amp;utm_medium=xlsx","открыть")</f>
        <v>открыть</v>
      </c>
    </row>
    <row r="502">
      <c r="A502" t="inlineStr">
        <is>
          <t xml:space="preserve">Женский</t>
        </is>
      </c>
      <c r="B502" t="inlineStr">
        <is>
          <t xml:space="preserve">Топы спортивные</t>
        </is>
      </c>
      <c r="C502" t="inlineStr">
        <is>
          <t xml:space="preserve">Майка трикотажная с чашками</t>
        </is>
      </c>
      <c r="D502" t="inlineStr">
        <is>
          <t xml:space="preserve">T3SS52W02бежевый</t>
        </is>
      </c>
      <c r="E502" t="inlineStr">
        <is>
          <t xml:space="preserve">бежевый, светло-серый, кофе с молоком</t>
        </is>
      </c>
      <c r="F502" t="inlineStr">
        <is>
          <t xml:space="preserve">48</t>
        </is>
      </c>
      <c r="G502">
        <v>1</v>
      </c>
      <c r="H502" s="2">
        <v>35.0</v>
      </c>
      <c r="I502" t="inlineStr">
        <is>
          <t xml:space="preserve">92% полиэстер 8% спандекс</t>
        </is>
      </c>
      <c r="J502"/>
      <c r="K502" t="inlineStr">
        <is>
          <t xml:space="preserve">Китай</t>
        </is>
      </c>
      <c r="L502" t="inlineStr">
        <is>
          <t xml:space="preserve">6110309900</t>
        </is>
      </c>
      <c r="M502" t="inlineStr">
        <is>
          <t xml:space="preserve">по запросу</t>
        </is>
      </c>
      <c r="N502" t="inlineStr">
        <is>
          <t xml:space="preserve">30 × 18 × 3</t>
        </is>
      </c>
      <c r="O502" t="inlineStr">
        <is>
          <t xml:space="preserve">0,21</t>
        </is>
      </c>
      <c r="P502" t="inlineStr">
        <is>
          <t xml:space="preserve">4816148167378</t>
        </is>
      </c>
      <c r="Q502" s="3" t="str">
        <f>HYPERLINK("https://modify.by/img/432689152/1.webp","фото")</f>
        <v>фото</v>
      </c>
      <c r="R502" s="3" t="str">
        <f>HYPERLINK("https://modify.by/catalog/topy-sportivnye/432689152/?utm_source=price&amp;utm_medium=xlsx","открыть")</f>
        <v>открыть</v>
      </c>
    </row>
    <row r="503">
      <c r="A503" t="inlineStr">
        <is>
          <t xml:space="preserve">Женский</t>
        </is>
      </c>
      <c r="B503" t="inlineStr">
        <is>
          <t xml:space="preserve">Футболки</t>
        </is>
      </c>
      <c r="C503" t="inlineStr">
        <is>
          <t xml:space="preserve">Футболка оверсайз с принтом</t>
        </is>
      </c>
      <c r="D503" t="inlineStr">
        <is>
          <t xml:space="preserve">SS22W01Белый,желтый</t>
        </is>
      </c>
      <c r="E503" t="inlineStr">
        <is>
          <t xml:space="preserve">белый, желтый</t>
        </is>
      </c>
      <c r="F503" t="inlineStr">
        <is>
          <t xml:space="preserve">46</t>
        </is>
      </c>
      <c r="G503">
        <v>1</v>
      </c>
      <c r="H503" s="2">
        <v>16.0</v>
      </c>
      <c r="I503" t="inlineStr">
        <is>
          <t xml:space="preserve">100% хлопок</t>
        </is>
      </c>
      <c r="J503"/>
      <c r="K503" t="inlineStr">
        <is>
          <t xml:space="preserve">Бангладеш</t>
        </is>
      </c>
      <c r="L503" t="inlineStr">
        <is>
          <t xml:space="preserve">6206200000</t>
        </is>
      </c>
      <c r="M503" t="inlineStr">
        <is>
          <t xml:space="preserve">Декларация № ЕАЭС № BY/112 11.01. ТР017 122.01 08246, до 19.04.2028</t>
        </is>
      </c>
      <c r="N503" t="inlineStr">
        <is>
          <t xml:space="preserve">1 × 30 × 35</t>
        </is>
      </c>
      <c r="O503" t="inlineStr">
        <is>
          <t xml:space="preserve">0,3</t>
        </is>
      </c>
      <c r="P503" t="inlineStr">
        <is>
          <t xml:space="preserve">2016957073392</t>
        </is>
      </c>
      <c r="Q503" s="3" t="str">
        <f>HYPERLINK("https://modify.by/img/92647023/1.webp","фото")</f>
        <v>фото</v>
      </c>
      <c r="R503" s="3" t="str">
        <f>HYPERLINK("https://modify.by/catalog/futbolki/92647023/?utm_source=price&amp;utm_medium=xlsx","открыть")</f>
        <v>открыть</v>
      </c>
    </row>
    <row r="504">
      <c r="A504" t="inlineStr">
        <is>
          <t xml:space="preserve">Женский</t>
        </is>
      </c>
      <c r="B504" t="inlineStr">
        <is>
          <t xml:space="preserve">Футболки</t>
        </is>
      </c>
      <c r="C504" t="inlineStr">
        <is>
          <t xml:space="preserve">Футболка оверсайз с принтом</t>
        </is>
      </c>
      <c r="D504" t="inlineStr">
        <is>
          <t xml:space="preserve">SS22W01Белый,желтый</t>
        </is>
      </c>
      <c r="E504" t="inlineStr">
        <is>
          <t xml:space="preserve">белый, желтый</t>
        </is>
      </c>
      <c r="F504" t="inlineStr">
        <is>
          <t xml:space="preserve">46</t>
        </is>
      </c>
      <c r="G504">
        <v>1</v>
      </c>
      <c r="H504" s="2">
        <v>16.0</v>
      </c>
      <c r="I504" t="inlineStr">
        <is>
          <t xml:space="preserve">100% хлопок</t>
        </is>
      </c>
      <c r="J504"/>
      <c r="K504" t="inlineStr">
        <is>
          <t xml:space="preserve">Бангладеш</t>
        </is>
      </c>
      <c r="L504" t="inlineStr">
        <is>
          <t xml:space="preserve">6206200000</t>
        </is>
      </c>
      <c r="M504" t="inlineStr">
        <is>
          <t xml:space="preserve">Декларация № ЕАЭС № BY/112 11.01. ТР017 122.01 08246, до 19.04.2028</t>
        </is>
      </c>
      <c r="N504" t="inlineStr">
        <is>
          <t xml:space="preserve">1 × 30 × 35</t>
        </is>
      </c>
      <c r="O504" t="inlineStr">
        <is>
          <t xml:space="preserve">0,3</t>
        </is>
      </c>
      <c r="P504" t="inlineStr">
        <is>
          <t xml:space="preserve">4816148180308</t>
        </is>
      </c>
      <c r="Q504" s="3" t="str">
        <f>HYPERLINK("https://modify.by/img/92647023/1.webp","фото")</f>
        <v>фото</v>
      </c>
      <c r="R504" s="3" t="str">
        <f>HYPERLINK("https://modify.by/catalog/futbolki/92647023/?utm_source=price&amp;utm_medium=xlsx","открыть")</f>
        <v>открыть</v>
      </c>
    </row>
    <row r="505">
      <c r="A505" t="inlineStr">
        <is>
          <t xml:space="preserve">Женский</t>
        </is>
      </c>
      <c r="B505" t="inlineStr">
        <is>
          <t xml:space="preserve">Шапки</t>
        </is>
      </c>
      <c r="C505" t="inlineStr">
        <is>
          <t xml:space="preserve">Шапка бини с пайетками</t>
        </is>
      </c>
      <c r="D505" t="inlineStr">
        <is>
          <t xml:space="preserve">T2HA42W01черный</t>
        </is>
      </c>
      <c r="E505" t="inlineStr">
        <is>
          <t xml:space="preserve">черный</t>
        </is>
      </c>
      <c r="F505" t="inlineStr">
        <is>
          <t xml:space="preserve">58-60</t>
        </is>
      </c>
      <c r="G505">
        <v>1</v>
      </c>
      <c r="H505" s="2">
        <v>14.0</v>
      </c>
      <c r="I505"/>
      <c r="J505" t="inlineStr">
        <is>
          <t xml:space="preserve">демисезон</t>
        </is>
      </c>
      <c r="K505" t="inlineStr">
        <is>
          <t xml:space="preserve">Китай</t>
        </is>
      </c>
      <c r="L505" t="inlineStr">
        <is>
          <t xml:space="preserve">6505009000</t>
        </is>
      </c>
      <c r="M505" t="inlineStr">
        <is>
          <t xml:space="preserve">по запросу</t>
        </is>
      </c>
      <c r="N505" t="inlineStr">
        <is>
          <t xml:space="preserve">26 × 25 × 1</t>
        </is>
      </c>
      <c r="O505" t="inlineStr">
        <is>
          <t xml:space="preserve">0,09</t>
        </is>
      </c>
      <c r="P505" t="inlineStr">
        <is>
          <t xml:space="preserve">4816148168252</t>
        </is>
      </c>
      <c r="Q505" s="3" t="str">
        <f>HYPERLINK("https://modify.by/img/461094509/1.webp","фото")</f>
        <v>фото</v>
      </c>
      <c r="R505" s="3" t="str">
        <f>HYPERLINK("https://modify.by/catalog/shapki/461094509/?utm_source=price&amp;utm_medium=xlsx","открыть")</f>
        <v>открыть</v>
      </c>
    </row>
    <row r="506">
      <c r="A506" t="inlineStr">
        <is>
          <t xml:space="preserve">Женский</t>
        </is>
      </c>
      <c r="B506" t="inlineStr">
        <is>
          <t xml:space="preserve">Шапки-ушанки</t>
        </is>
      </c>
      <c r="C506" t="inlineStr">
        <is>
          <t xml:space="preserve">Шапка ушанка зимняя меховая теплая авиатор овчина, бежевый</t>
        </is>
      </c>
      <c r="D506" t="inlineStr">
        <is>
          <t xml:space="preserve">T3HA62W01_бежевый</t>
        </is>
      </c>
      <c r="E506" t="inlineStr">
        <is>
          <t xml:space="preserve">бежевый</t>
        </is>
      </c>
      <c r="F506" t="inlineStr">
        <is>
          <t xml:space="preserve">58-60</t>
        </is>
      </c>
      <c r="G506">
        <v>25</v>
      </c>
      <c r="H506" s="2">
        <v>33.0</v>
      </c>
      <c r="I506" t="inlineStr">
        <is>
          <t xml:space="preserve">овчина искусственная, мех искусственный, полиэстер</t>
        </is>
      </c>
      <c r="J506" t="inlineStr">
        <is>
          <t xml:space="preserve">демисезон</t>
        </is>
      </c>
      <c r="K506" t="inlineStr">
        <is>
          <t xml:space="preserve">Китай</t>
        </is>
      </c>
      <c r="L506" t="inlineStr">
        <is>
          <t xml:space="preserve">6505009000</t>
        </is>
      </c>
      <c r="M506" t="inlineStr">
        <is>
          <t xml:space="preserve">Декларация № ЕАЭС N RU Д-CN.РА02.В.44376/24, до 28.02.2029</t>
        </is>
      </c>
      <c r="N506" t="inlineStr">
        <is>
          <t xml:space="preserve">24 × 24 × 3</t>
        </is>
      </c>
      <c r="O506" t="inlineStr">
        <is>
          <t xml:space="preserve">0,17</t>
        </is>
      </c>
      <c r="P506" t="inlineStr">
        <is>
          <t xml:space="preserve">4816148185594</t>
        </is>
      </c>
      <c r="Q506" s="3" t="str">
        <f>HYPERLINK("https://modify.by/img/1392747992/1.webp","фото")</f>
        <v>фото</v>
      </c>
      <c r="R506" s="3" t="str">
        <f>HYPERLINK("https://modify.by/catalog/shapki-ushanki/1392747992/?utm_source=price&amp;utm_medium=xlsx","открыть")</f>
        <v>открыть</v>
      </c>
    </row>
    <row r="507">
      <c r="A507" t="inlineStr">
        <is>
          <t xml:space="preserve">Женский</t>
        </is>
      </c>
      <c r="B507" t="inlineStr">
        <is>
          <t xml:space="preserve">Шапки-ушанки</t>
        </is>
      </c>
      <c r="C507" t="inlineStr">
        <is>
          <t xml:space="preserve">Шапка ушанка зимняя меховая теплая авиатор овчина, черный</t>
        </is>
      </c>
      <c r="D507" t="inlineStr">
        <is>
          <t xml:space="preserve">T3HA62W01_черный</t>
        </is>
      </c>
      <c r="E507" t="inlineStr">
        <is>
          <t xml:space="preserve">черный</t>
        </is>
      </c>
      <c r="F507" t="inlineStr">
        <is>
          <t xml:space="preserve">58-60</t>
        </is>
      </c>
      <c r="G507">
        <v>24</v>
      </c>
      <c r="H507" s="2">
        <v>33.0</v>
      </c>
      <c r="I507" t="inlineStr">
        <is>
          <t xml:space="preserve">овчина искусственная, мех искусственный, полиэстер</t>
        </is>
      </c>
      <c r="J507" t="inlineStr">
        <is>
          <t xml:space="preserve">демисезон</t>
        </is>
      </c>
      <c r="K507" t="inlineStr">
        <is>
          <t xml:space="preserve">Китай</t>
        </is>
      </c>
      <c r="L507" t="inlineStr">
        <is>
          <t xml:space="preserve">6505009000</t>
        </is>
      </c>
      <c r="M507" t="inlineStr">
        <is>
          <t xml:space="preserve">Декларация № ЕАЭС N RU Д-CN.РА02.В.44376/24, до 28.02.2029</t>
        </is>
      </c>
      <c r="N507" t="inlineStr">
        <is>
          <t xml:space="preserve">24 × 24 × 3</t>
        </is>
      </c>
      <c r="O507" t="inlineStr">
        <is>
          <t xml:space="preserve">0,17</t>
        </is>
      </c>
      <c r="P507" t="inlineStr">
        <is>
          <t xml:space="preserve">4816148185600</t>
        </is>
      </c>
      <c r="Q507" s="3" t="str">
        <f>HYPERLINK("https://modify.by/img/1392808304/1.webp","фото")</f>
        <v>фото</v>
      </c>
      <c r="R507" s="3" t="str">
        <f>HYPERLINK("https://modify.by/catalog/shapki-ushanki/1392808304/?utm_source=price&amp;utm_medium=xlsx","открыть")</f>
        <v>открыть</v>
      </c>
    </row>
    <row r="508">
      <c r="A508" t="inlineStr">
        <is>
          <t xml:space="preserve">Женский</t>
        </is>
      </c>
      <c r="B508" t="inlineStr">
        <is>
          <t xml:space="preserve">Шапки-ушанки</t>
        </is>
      </c>
      <c r="C508" t="inlineStr">
        <is>
          <t xml:space="preserve">Шапка ушанка с козырьком и мехом болоньевая, молочный</t>
        </is>
      </c>
      <c r="D508" t="inlineStr">
        <is>
          <t xml:space="preserve">T3HA62W03_молочный</t>
        </is>
      </c>
      <c r="E508" t="inlineStr">
        <is>
          <t xml:space="preserve">молочный, мягкий белый</t>
        </is>
      </c>
      <c r="F508" t="inlineStr">
        <is>
          <t xml:space="preserve">58-60</t>
        </is>
      </c>
      <c r="G508">
        <v>53</v>
      </c>
      <c r="H508" s="2">
        <v>30.0</v>
      </c>
      <c r="I508" t="inlineStr">
        <is>
          <t xml:space="preserve">полиэстeр</t>
        </is>
      </c>
      <c r="J508" t="inlineStr">
        <is>
          <t xml:space="preserve">демисезон</t>
        </is>
      </c>
      <c r="K508" t="inlineStr">
        <is>
          <t xml:space="preserve">Китай</t>
        </is>
      </c>
      <c r="L508" t="inlineStr">
        <is>
          <t xml:space="preserve">6505009000</t>
        </is>
      </c>
      <c r="M508" t="inlineStr">
        <is>
          <t xml:space="preserve">Декларация № ЕАЭС N RU Д-CN.РА02.В.44376/24, до 28.02.2029</t>
        </is>
      </c>
      <c r="N508" t="inlineStr">
        <is>
          <t xml:space="preserve">26 × 25 × 2</t>
        </is>
      </c>
      <c r="O508" t="inlineStr">
        <is>
          <t xml:space="preserve">0,1</t>
        </is>
      </c>
      <c r="P508" t="inlineStr">
        <is>
          <t xml:space="preserve">4816148185624</t>
        </is>
      </c>
      <c r="Q508" s="3" t="str">
        <f>HYPERLINK("https://modify.by/img/1392084916/1.webp","фото")</f>
        <v>фото</v>
      </c>
      <c r="R508" s="3" t="str">
        <f>HYPERLINK("https://modify.by/catalog/shapki-ushanki/1392084916/?utm_source=price&amp;utm_medium=xlsx","открыть")</f>
        <v>открыть</v>
      </c>
    </row>
    <row r="509">
      <c r="A509" t="inlineStr">
        <is>
          <t xml:space="preserve">Женский</t>
        </is>
      </c>
      <c r="B509" t="inlineStr">
        <is>
          <t xml:space="preserve">Шапки-ушанки</t>
        </is>
      </c>
      <c r="C509" t="inlineStr">
        <is>
          <t xml:space="preserve">Шапка ушанка с козырьком и мехом болоньевая, светло-коричневый</t>
        </is>
      </c>
      <c r="D509" t="inlineStr">
        <is>
          <t xml:space="preserve">T262HW03_светло-коричневый</t>
        </is>
      </c>
      <c r="E509" t="inlineStr">
        <is>
          <t xml:space="preserve">светло-коричневый</t>
        </is>
      </c>
      <c r="F509" t="inlineStr">
        <is>
          <t xml:space="preserve">58-60</t>
        </is>
      </c>
      <c r="G509">
        <v>141</v>
      </c>
      <c r="H509" s="2">
        <v>30.0</v>
      </c>
      <c r="I509" t="inlineStr">
        <is>
          <t xml:space="preserve">полиэстeр</t>
        </is>
      </c>
      <c r="J509" t="inlineStr">
        <is>
          <t xml:space="preserve">демисезон</t>
        </is>
      </c>
      <c r="K509" t="inlineStr">
        <is>
          <t xml:space="preserve">Китай</t>
        </is>
      </c>
      <c r="L509" t="inlineStr">
        <is>
          <t xml:space="preserve">6505009000</t>
        </is>
      </c>
      <c r="M509" t="inlineStr">
        <is>
          <t xml:space="preserve">Декларация № ЕАЭС N RU Д-CN.РА02.В.44376/24, до 28.02.2029</t>
        </is>
      </c>
      <c r="N509" t="inlineStr">
        <is>
          <t xml:space="preserve">26 × 25 × 2</t>
        </is>
      </c>
      <c r="O509" t="inlineStr">
        <is>
          <t xml:space="preserve">0,11</t>
        </is>
      </c>
      <c r="P509" t="inlineStr">
        <is>
          <t xml:space="preserve">4816148185631</t>
        </is>
      </c>
      <c r="Q509" s="3" t="str">
        <f>HYPERLINK("https://modify.by/img/1390036690/1.webp","фото")</f>
        <v>фото</v>
      </c>
      <c r="R509" s="3" t="str">
        <f>HYPERLINK("https://modify.by/catalog/shapki-ushanki/1390036690/?utm_source=price&amp;utm_medium=xlsx","открыть")</f>
        <v>открыть</v>
      </c>
    </row>
    <row r="510">
      <c r="A510" t="inlineStr">
        <is>
          <t xml:space="preserve">Женский</t>
        </is>
      </c>
      <c r="B510" t="inlineStr">
        <is>
          <t xml:space="preserve">Шапки-ушанки</t>
        </is>
      </c>
      <c r="C510" t="inlineStr">
        <is>
          <t xml:space="preserve">Шапка ушанка с козырьком и мехом болоньевая, черный</t>
        </is>
      </c>
      <c r="D510" t="inlineStr">
        <is>
          <t xml:space="preserve">T3HA62W03_черный</t>
        </is>
      </c>
      <c r="E510" t="inlineStr">
        <is>
          <t xml:space="preserve">черный</t>
        </is>
      </c>
      <c r="F510" t="inlineStr">
        <is>
          <t xml:space="preserve">58-60</t>
        </is>
      </c>
      <c r="G510">
        <v>47</v>
      </c>
      <c r="H510" s="2">
        <v>30.0</v>
      </c>
      <c r="I510" t="inlineStr">
        <is>
          <t xml:space="preserve">полиэстeр</t>
        </is>
      </c>
      <c r="J510" t="inlineStr">
        <is>
          <t xml:space="preserve">демисезон</t>
        </is>
      </c>
      <c r="K510" t="inlineStr">
        <is>
          <t xml:space="preserve">Китай</t>
        </is>
      </c>
      <c r="L510" t="inlineStr">
        <is>
          <t xml:space="preserve">6505009000</t>
        </is>
      </c>
      <c r="M510" t="inlineStr">
        <is>
          <t xml:space="preserve">Декларация № ЕАЭС N RU Д-CN.РА02.В.44376/24, до 28.02.2029</t>
        </is>
      </c>
      <c r="N510" t="inlineStr">
        <is>
          <t xml:space="preserve">26 × 25 × 2</t>
        </is>
      </c>
      <c r="O510" t="inlineStr">
        <is>
          <t xml:space="preserve">0,11</t>
        </is>
      </c>
      <c r="P510" t="inlineStr">
        <is>
          <t xml:space="preserve">4816148185617</t>
        </is>
      </c>
      <c r="Q510" s="3" t="str">
        <f>HYPERLINK("https://modify.by/img/1391900083/1.webp","фото")</f>
        <v>фото</v>
      </c>
      <c r="R510" s="3" t="str">
        <f>HYPERLINK("https://modify.by/catalog/shapki-ushanki/1391900083/?utm_source=price&amp;utm_medium=xlsx","открыть")</f>
        <v>открыть</v>
      </c>
    </row>
    <row r="511">
      <c r="A511" t="inlineStr">
        <is>
          <t xml:space="preserve">Женский</t>
        </is>
      </c>
      <c r="B511" t="inlineStr">
        <is>
          <t xml:space="preserve">Шлепанцы</t>
        </is>
      </c>
      <c r="C511" t="inlineStr">
        <is>
          <t xml:space="preserve">Шлепанцы пляжные летние нескользящие ЭВА легкие, бежевый</t>
        </is>
      </c>
      <c r="D511" t="inlineStr">
        <is>
          <t xml:space="preserve">T3SL52W01бежевый</t>
        </is>
      </c>
      <c r="E511" t="inlineStr">
        <is>
          <t xml:space="preserve">бежевый</t>
        </is>
      </c>
      <c r="F511" t="inlineStr">
        <is>
          <t xml:space="preserve">37-38</t>
        </is>
      </c>
      <c r="G511">
        <v>3</v>
      </c>
      <c r="H511" s="2">
        <v>22.0</v>
      </c>
      <c r="I511" t="inlineStr">
        <is>
          <t xml:space="preserve">EVA 100%, тапочки домашние из ЭВА, тапочки домашние женские из ПВХ, тапочки резиновые женские</t>
        </is>
      </c>
      <c r="J511" t="inlineStr">
        <is>
          <t xml:space="preserve">лето</t>
        </is>
      </c>
      <c r="K511" t="inlineStr">
        <is>
          <t xml:space="preserve">Китай</t>
        </is>
      </c>
      <c r="L511" t="inlineStr">
        <is>
          <t xml:space="preserve">6402999800</t>
        </is>
      </c>
      <c r="M511" t="inlineStr">
        <is>
          <t xml:space="preserve">по запросу</t>
        </is>
      </c>
      <c r="N511" t="inlineStr">
        <is>
          <t xml:space="preserve">32 × 11 × 7</t>
        </is>
      </c>
      <c r="O511" t="inlineStr">
        <is>
          <t xml:space="preserve">0,38</t>
        </is>
      </c>
      <c r="P511" t="inlineStr">
        <is>
          <t xml:space="preserve">4816148161635</t>
        </is>
      </c>
      <c r="Q511" s="3" t="str">
        <f>HYPERLINK("https://modify.by/img/367821663/1.webp","фото")</f>
        <v>фото</v>
      </c>
      <c r="R511" s="3" t="str">
        <f>HYPERLINK("https://modify.by/catalog/shlepancy/367821663/?utm_source=price&amp;utm_medium=xlsx","открыть")</f>
        <v>открыть</v>
      </c>
    </row>
    <row r="512">
      <c r="A512" t="inlineStr">
        <is>
          <t xml:space="preserve">Женский</t>
        </is>
      </c>
      <c r="B512" t="inlineStr">
        <is>
          <t xml:space="preserve">Шлепанцы</t>
        </is>
      </c>
      <c r="C512" t="inlineStr">
        <is>
          <t xml:space="preserve">Шлепанцы пляжные летние нескользящие ЭВА легкие, бежевый</t>
        </is>
      </c>
      <c r="D512" t="inlineStr">
        <is>
          <t xml:space="preserve">T3SL52W01бежевый</t>
        </is>
      </c>
      <c r="E512" t="inlineStr">
        <is>
          <t xml:space="preserve">бежевый</t>
        </is>
      </c>
      <c r="F512" t="inlineStr">
        <is>
          <t xml:space="preserve">39-40</t>
        </is>
      </c>
      <c r="G512">
        <v>2</v>
      </c>
      <c r="H512" s="2">
        <v>22.0</v>
      </c>
      <c r="I512" t="inlineStr">
        <is>
          <t xml:space="preserve">EVA 100%, тапочки домашние из ЭВА, тапочки домашние женские из ПВХ, тапочки резиновые женские</t>
        </is>
      </c>
      <c r="J512" t="inlineStr">
        <is>
          <t xml:space="preserve">лето</t>
        </is>
      </c>
      <c r="K512" t="inlineStr">
        <is>
          <t xml:space="preserve">Китай</t>
        </is>
      </c>
      <c r="L512" t="inlineStr">
        <is>
          <t xml:space="preserve">6402999800</t>
        </is>
      </c>
      <c r="M512" t="inlineStr">
        <is>
          <t xml:space="preserve">по запросу</t>
        </is>
      </c>
      <c r="N512" t="inlineStr">
        <is>
          <t xml:space="preserve">32 × 11 × 7</t>
        </is>
      </c>
      <c r="O512" t="inlineStr">
        <is>
          <t xml:space="preserve">0,38</t>
        </is>
      </c>
      <c r="P512" t="inlineStr">
        <is>
          <t xml:space="preserve">4816148161642</t>
        </is>
      </c>
      <c r="Q512" s="3" t="str">
        <f>HYPERLINK("https://modify.by/img/367821663/1.webp","фото")</f>
        <v>фото</v>
      </c>
      <c r="R512" s="3" t="str">
        <f>HYPERLINK("https://modify.by/catalog/shlepancy/367821663/?utm_source=price&amp;utm_medium=xlsx","открыть")</f>
        <v>открыть</v>
      </c>
    </row>
    <row r="513">
      <c r="A513" t="inlineStr">
        <is>
          <t xml:space="preserve">Женский</t>
        </is>
      </c>
      <c r="B513" t="inlineStr">
        <is>
          <t xml:space="preserve">Шлепанцы</t>
        </is>
      </c>
      <c r="C513" t="inlineStr">
        <is>
          <t xml:space="preserve">Шлепанцы пляжные летние нескользящие ЭВА легкие, бежевый</t>
        </is>
      </c>
      <c r="D513" t="inlineStr">
        <is>
          <t xml:space="preserve">T3SL52W01бежевый</t>
        </is>
      </c>
      <c r="E513" t="inlineStr">
        <is>
          <t xml:space="preserve">бежевый</t>
        </is>
      </c>
      <c r="F513" t="inlineStr">
        <is>
          <t xml:space="preserve">41-42</t>
        </is>
      </c>
      <c r="G513">
        <v>2</v>
      </c>
      <c r="H513" s="2">
        <v>22.0</v>
      </c>
      <c r="I513" t="inlineStr">
        <is>
          <t xml:space="preserve">EVA 100%, тапочки домашние из ЭВА, тапочки домашние женские из ПВХ, тапочки резиновые женские</t>
        </is>
      </c>
      <c r="J513" t="inlineStr">
        <is>
          <t xml:space="preserve">лето</t>
        </is>
      </c>
      <c r="K513" t="inlineStr">
        <is>
          <t xml:space="preserve">Китай</t>
        </is>
      </c>
      <c r="L513" t="inlineStr">
        <is>
          <t xml:space="preserve">6402999800</t>
        </is>
      </c>
      <c r="M513" t="inlineStr">
        <is>
          <t xml:space="preserve">по запросу</t>
        </is>
      </c>
      <c r="N513" t="inlineStr">
        <is>
          <t xml:space="preserve">32 × 11 × 7</t>
        </is>
      </c>
      <c r="O513" t="inlineStr">
        <is>
          <t xml:space="preserve">0,38</t>
        </is>
      </c>
      <c r="P513" t="inlineStr">
        <is>
          <t xml:space="preserve">4816148161659</t>
        </is>
      </c>
      <c r="Q513" s="3" t="str">
        <f>HYPERLINK("https://modify.by/img/367821663/1.webp","фото")</f>
        <v>фото</v>
      </c>
      <c r="R513" s="3" t="str">
        <f>HYPERLINK("https://modify.by/catalog/shlepancy/367821663/?utm_source=price&amp;utm_medium=xlsx","открыть")</f>
        <v>открыть</v>
      </c>
    </row>
    <row r="514">
      <c r="A514" t="inlineStr">
        <is>
          <t xml:space="preserve">Женский</t>
        </is>
      </c>
      <c r="B514" t="inlineStr">
        <is>
          <t xml:space="preserve">Шлепанцы</t>
        </is>
      </c>
      <c r="C514" t="inlineStr">
        <is>
          <t xml:space="preserve">Шлепанцы пляжные летние нескользящие ЭВА легкие, черный</t>
        </is>
      </c>
      <c r="D514" t="inlineStr">
        <is>
          <t xml:space="preserve">T3SL52W01черный</t>
        </is>
      </c>
      <c r="E514" t="inlineStr">
        <is>
          <t xml:space="preserve">черный</t>
        </is>
      </c>
      <c r="F514" t="inlineStr">
        <is>
          <t xml:space="preserve">37-38</t>
        </is>
      </c>
      <c r="G514">
        <v>1</v>
      </c>
      <c r="H514" s="2">
        <v>22.0</v>
      </c>
      <c r="I514" t="inlineStr">
        <is>
          <t xml:space="preserve">EVA 100%, тапочки домашние из ЭВА, тапочки домашние женские из ПВХ, тапочки резиновые женские</t>
        </is>
      </c>
      <c r="J514" t="inlineStr">
        <is>
          <t xml:space="preserve">лето</t>
        </is>
      </c>
      <c r="K514" t="inlineStr">
        <is>
          <t xml:space="preserve">Китай</t>
        </is>
      </c>
      <c r="L514" t="inlineStr">
        <is>
          <t xml:space="preserve">6402999800</t>
        </is>
      </c>
      <c r="M514" t="inlineStr">
        <is>
          <t xml:space="preserve">Декларация № ЕАЭС KG417/533.Д.0004548, до 27.03.2029</t>
        </is>
      </c>
      <c r="N514" t="inlineStr">
        <is>
          <t xml:space="preserve">32 × 11 × 7</t>
        </is>
      </c>
      <c r="O514" t="inlineStr">
        <is>
          <t xml:space="preserve">0,38</t>
        </is>
      </c>
      <c r="P514" t="inlineStr">
        <is>
          <t xml:space="preserve">4816148161673</t>
        </is>
      </c>
      <c r="Q514" s="3" t="str">
        <f>HYPERLINK("https://modify.by/img/367821664/1.webp","фото")</f>
        <v>фото</v>
      </c>
      <c r="R514" s="3" t="str">
        <f>HYPERLINK("https://modify.by/catalog/shlepancy/367821664/?utm_source=price&amp;utm_medium=xlsx","открыть")</f>
        <v>открыть</v>
      </c>
    </row>
    <row r="515">
      <c r="A515" t="inlineStr">
        <is>
          <t xml:space="preserve">Женский</t>
        </is>
      </c>
      <c r="B515" t="inlineStr">
        <is>
          <t xml:space="preserve">Шорты</t>
        </is>
      </c>
      <c r="C515" t="inlineStr">
        <is>
          <t xml:space="preserve">Белые шорты хлопковые</t>
        </is>
      </c>
      <c r="D515" t="inlineStr">
        <is>
          <t xml:space="preserve">BE32W06белый</t>
        </is>
      </c>
      <c r="E515" t="inlineStr">
        <is>
          <t xml:space="preserve">белый</t>
        </is>
      </c>
      <c r="F515" t="inlineStr">
        <is>
          <t xml:space="preserve">44</t>
        </is>
      </c>
      <c r="G515">
        <v>1</v>
      </c>
      <c r="H515" s="2">
        <v>26.0</v>
      </c>
      <c r="I515" t="inlineStr">
        <is>
          <t xml:space="preserve">98% хлопок, 2% эластан</t>
        </is>
      </c>
      <c r="J515"/>
      <c r="K515" t="inlineStr">
        <is>
          <t xml:space="preserve">Бангладеш</t>
        </is>
      </c>
      <c r="L515" t="inlineStr">
        <is>
          <t xml:space="preserve">6204629000</t>
        </is>
      </c>
      <c r="M515" t="inlineStr">
        <is>
          <t xml:space="preserve">Декларация № ЕАЭС № BY/112 11.01. ТР017 122.01 08246, до 19.04.2028</t>
        </is>
      </c>
      <c r="N515" t="inlineStr">
        <is>
          <t xml:space="preserve">35 × 30 × 2</t>
        </is>
      </c>
      <c r="O515" t="inlineStr">
        <is>
          <t xml:space="preserve">0,35</t>
        </is>
      </c>
      <c r="P515" t="inlineStr">
        <is>
          <t xml:space="preserve">2038096192215</t>
        </is>
      </c>
      <c r="Q515" s="3" t="str">
        <f>HYPERLINK("https://modify.by/img/210859959/1.webp","фото")</f>
        <v>фото</v>
      </c>
      <c r="R515" s="3" t="str">
        <f>HYPERLINK("https://modify.by/catalog/shorty/210859959/?utm_source=price&amp;utm_medium=xlsx","открыть")</f>
        <v>открыть</v>
      </c>
    </row>
    <row r="516">
      <c r="A516" t="inlineStr">
        <is>
          <t xml:space="preserve">Женский</t>
        </is>
      </c>
      <c r="B516" t="inlineStr">
        <is>
          <t xml:space="preserve">Шорты</t>
        </is>
      </c>
      <c r="C516" t="inlineStr">
        <is>
          <t xml:space="preserve">Белые шорты хлопковые</t>
        </is>
      </c>
      <c r="D516" t="inlineStr">
        <is>
          <t xml:space="preserve">BE32W06белый</t>
        </is>
      </c>
      <c r="E516" t="inlineStr">
        <is>
          <t xml:space="preserve">белый</t>
        </is>
      </c>
      <c r="F516" t="inlineStr">
        <is>
          <t xml:space="preserve">46</t>
        </is>
      </c>
      <c r="G516">
        <v>1</v>
      </c>
      <c r="H516" s="2">
        <v>26.0</v>
      </c>
      <c r="I516" t="inlineStr">
        <is>
          <t xml:space="preserve">98% хлопок, 2% эластан</t>
        </is>
      </c>
      <c r="J516"/>
      <c r="K516" t="inlineStr">
        <is>
          <t xml:space="preserve">Бангладеш</t>
        </is>
      </c>
      <c r="L516" t="inlineStr">
        <is>
          <t xml:space="preserve">6204629000</t>
        </is>
      </c>
      <c r="M516" t="inlineStr">
        <is>
          <t xml:space="preserve">Декларация № ЕАЭС № BY/112 11.01. ТР017 122.01 08246, до 19.04.2028</t>
        </is>
      </c>
      <c r="N516" t="inlineStr">
        <is>
          <t xml:space="preserve">35 × 30 × 2</t>
        </is>
      </c>
      <c r="O516" t="inlineStr">
        <is>
          <t xml:space="preserve">0,35</t>
        </is>
      </c>
      <c r="P516" t="inlineStr">
        <is>
          <t xml:space="preserve">2038096192222</t>
        </is>
      </c>
      <c r="Q516" s="3" t="str">
        <f>HYPERLINK("https://modify.by/img/210859959/1.webp","фото")</f>
        <v>фото</v>
      </c>
      <c r="R516" s="3" t="str">
        <f>HYPERLINK("https://modify.by/catalog/shorty/210859959/?utm_source=price&amp;utm_medium=xlsx","открыть")</f>
        <v>открыть</v>
      </c>
    </row>
    <row r="517">
      <c r="A517" t="inlineStr">
        <is>
          <t xml:space="preserve">Женский</t>
        </is>
      </c>
      <c r="B517" t="inlineStr">
        <is>
          <t xml:space="preserve">Шорты</t>
        </is>
      </c>
      <c r="C517" t="inlineStr">
        <is>
          <t xml:space="preserve">Белые шорты хлопковые</t>
        </is>
      </c>
      <c r="D517" t="inlineStr">
        <is>
          <t xml:space="preserve">BE32W06белый</t>
        </is>
      </c>
      <c r="E517" t="inlineStr">
        <is>
          <t xml:space="preserve">белый</t>
        </is>
      </c>
      <c r="F517" t="inlineStr">
        <is>
          <t xml:space="preserve">48</t>
        </is>
      </c>
      <c r="G517">
        <v>3</v>
      </c>
      <c r="H517" s="2">
        <v>26.0</v>
      </c>
      <c r="I517" t="inlineStr">
        <is>
          <t xml:space="preserve">98% хлопок, 2% эластан</t>
        </is>
      </c>
      <c r="J517"/>
      <c r="K517" t="inlineStr">
        <is>
          <t xml:space="preserve">Бангладеш</t>
        </is>
      </c>
      <c r="L517" t="inlineStr">
        <is>
          <t xml:space="preserve">6204629000</t>
        </is>
      </c>
      <c r="M517" t="inlineStr">
        <is>
          <t xml:space="preserve">Декларация № ЕАЭС № BY/112 11.01. ТР017 122.01 08246, до 19.04.2028</t>
        </is>
      </c>
      <c r="N517" t="inlineStr">
        <is>
          <t xml:space="preserve">35 × 30 × 2</t>
        </is>
      </c>
      <c r="O517" t="inlineStr">
        <is>
          <t xml:space="preserve">0,35</t>
        </is>
      </c>
      <c r="P517" t="inlineStr">
        <is>
          <t xml:space="preserve">2038096192239</t>
        </is>
      </c>
      <c r="Q517" s="3" t="str">
        <f>HYPERLINK("https://modify.by/img/210859959/1.webp","фото")</f>
        <v>фото</v>
      </c>
      <c r="R517" s="3" t="str">
        <f>HYPERLINK("https://modify.by/catalog/shorty/210859959/?utm_source=price&amp;utm_medium=xlsx","открыть")</f>
        <v>открыть</v>
      </c>
    </row>
    <row r="518">
      <c r="A518" t="inlineStr">
        <is>
          <t xml:space="preserve">Женский</t>
        </is>
      </c>
      <c r="B518" t="inlineStr">
        <is>
          <t xml:space="preserve">Шорты</t>
        </is>
      </c>
      <c r="C518" t="inlineStr">
        <is>
          <t xml:space="preserve">Белые шорты хлопковые</t>
        </is>
      </c>
      <c r="D518" t="inlineStr">
        <is>
          <t xml:space="preserve">BE32W06белый</t>
        </is>
      </c>
      <c r="E518" t="inlineStr">
        <is>
          <t xml:space="preserve">белый</t>
        </is>
      </c>
      <c r="F518" t="inlineStr">
        <is>
          <t xml:space="preserve">48</t>
        </is>
      </c>
      <c r="G518">
        <v>3</v>
      </c>
      <c r="H518" s="2">
        <v>26.0</v>
      </c>
      <c r="I518" t="inlineStr">
        <is>
          <t xml:space="preserve">98% хлопок, 2% эластан</t>
        </is>
      </c>
      <c r="J518"/>
      <c r="K518" t="inlineStr">
        <is>
          <t xml:space="preserve">Бангладеш</t>
        </is>
      </c>
      <c r="L518" t="inlineStr">
        <is>
          <t xml:space="preserve">6204629000</t>
        </is>
      </c>
      <c r="M518" t="inlineStr">
        <is>
          <t xml:space="preserve">Декларация № ЕАЭС № BY/112 11.01. ТР017 122.01 08246, до 19.04.2028</t>
        </is>
      </c>
      <c r="N518" t="inlineStr">
        <is>
          <t xml:space="preserve">35 × 30 × 2</t>
        </is>
      </c>
      <c r="O518" t="inlineStr">
        <is>
          <t xml:space="preserve">0,35</t>
        </is>
      </c>
      <c r="P518" t="inlineStr">
        <is>
          <t xml:space="preserve">4816148179395</t>
        </is>
      </c>
      <c r="Q518" s="3" t="str">
        <f>HYPERLINK("https://modify.by/img/210859959/1.webp","фото")</f>
        <v>фото</v>
      </c>
      <c r="R518" s="3" t="str">
        <f>HYPERLINK("https://modify.by/catalog/shorty/210859959/?utm_source=price&amp;utm_medium=xlsx","открыть")</f>
        <v>открыть</v>
      </c>
    </row>
    <row r="519">
      <c r="A519" t="inlineStr">
        <is>
          <t xml:space="preserve">Женский</t>
        </is>
      </c>
      <c r="B519" t="inlineStr">
        <is>
          <t xml:space="preserve">Шорты</t>
        </is>
      </c>
      <c r="C519" t="inlineStr">
        <is>
          <t xml:space="preserve">Белые шорты хлопковые</t>
        </is>
      </c>
      <c r="D519" t="inlineStr">
        <is>
          <t xml:space="preserve">BE32W06белый</t>
        </is>
      </c>
      <c r="E519" t="inlineStr">
        <is>
          <t xml:space="preserve">белый</t>
        </is>
      </c>
      <c r="F519" t="inlineStr">
        <is>
          <t xml:space="preserve">50</t>
        </is>
      </c>
      <c r="G519">
        <v>1</v>
      </c>
      <c r="H519" s="2">
        <v>26.0</v>
      </c>
      <c r="I519" t="inlineStr">
        <is>
          <t xml:space="preserve">98% хлопок, 2% эластан</t>
        </is>
      </c>
      <c r="J519"/>
      <c r="K519" t="inlineStr">
        <is>
          <t xml:space="preserve">Бангладеш</t>
        </is>
      </c>
      <c r="L519" t="inlineStr">
        <is>
          <t xml:space="preserve">6204629000</t>
        </is>
      </c>
      <c r="M519" t="inlineStr">
        <is>
          <t xml:space="preserve">Декларация № ЕАЭС № BY/112 11.01. ТР017 122.01 08246, до 19.04.2028</t>
        </is>
      </c>
      <c r="N519" t="inlineStr">
        <is>
          <t xml:space="preserve">35 × 30 × 2</t>
        </is>
      </c>
      <c r="O519" t="inlineStr">
        <is>
          <t xml:space="preserve">0,35</t>
        </is>
      </c>
      <c r="P519" t="inlineStr">
        <is>
          <t xml:space="preserve">2038096192246</t>
        </is>
      </c>
      <c r="Q519" s="3" t="str">
        <f>HYPERLINK("https://modify.by/img/210859959/1.webp","фото")</f>
        <v>фото</v>
      </c>
      <c r="R519" s="3" t="str">
        <f>HYPERLINK("https://modify.by/catalog/shorty/210859959/?utm_source=price&amp;utm_medium=xlsx","открыть")</f>
        <v>открыть</v>
      </c>
    </row>
    <row r="520">
      <c r="A520" t="inlineStr">
        <is>
          <t xml:space="preserve">Женский</t>
        </is>
      </c>
      <c r="B520" t="inlineStr">
        <is>
          <t xml:space="preserve">Шорты</t>
        </is>
      </c>
      <c r="C520" t="inlineStr">
        <is>
          <t xml:space="preserve">Белые шорты хлопковые</t>
        </is>
      </c>
      <c r="D520" t="inlineStr">
        <is>
          <t xml:space="preserve">BE32W06белый</t>
        </is>
      </c>
      <c r="E520" t="inlineStr">
        <is>
          <t xml:space="preserve">белый</t>
        </is>
      </c>
      <c r="F520" t="inlineStr">
        <is>
          <t xml:space="preserve">50</t>
        </is>
      </c>
      <c r="G520">
        <v>1</v>
      </c>
      <c r="H520" s="2">
        <v>26.0</v>
      </c>
      <c r="I520" t="inlineStr">
        <is>
          <t xml:space="preserve">98% хлопок, 2% эластан</t>
        </is>
      </c>
      <c r="J520"/>
      <c r="K520" t="inlineStr">
        <is>
          <t xml:space="preserve">Бангладеш</t>
        </is>
      </c>
      <c r="L520" t="inlineStr">
        <is>
          <t xml:space="preserve">6204629000</t>
        </is>
      </c>
      <c r="M520" t="inlineStr">
        <is>
          <t xml:space="preserve">Декларация № ЕАЭС № BY/112 11.01. ТР017 122.01 08246, до 19.04.2028</t>
        </is>
      </c>
      <c r="N520" t="inlineStr">
        <is>
          <t xml:space="preserve">35 × 30 × 2</t>
        </is>
      </c>
      <c r="O520" t="inlineStr">
        <is>
          <t xml:space="preserve">0,35</t>
        </is>
      </c>
      <c r="P520" t="inlineStr">
        <is>
          <t xml:space="preserve">4816148126528</t>
        </is>
      </c>
      <c r="Q520" s="3" t="str">
        <f>HYPERLINK("https://modify.by/img/210859959/1.webp","фото")</f>
        <v>фото</v>
      </c>
      <c r="R520" s="3" t="str">
        <f>HYPERLINK("https://modify.by/catalog/shorty/210859959/?utm_source=price&amp;utm_medium=xlsx","открыть")</f>
        <v>открыть</v>
      </c>
    </row>
    <row r="521">
      <c r="A521" t="inlineStr">
        <is>
          <t xml:space="preserve">Женский</t>
        </is>
      </c>
      <c r="B521" t="inlineStr">
        <is>
          <t xml:space="preserve">Шорты</t>
        </is>
      </c>
      <c r="C521" t="inlineStr">
        <is>
          <t xml:space="preserve">Бермуды на резинке, светло-бирюзовый</t>
        </is>
      </c>
      <c r="D521" t="inlineStr">
        <is>
          <t xml:space="preserve">CP32W02Светло-бирюзовый</t>
        </is>
      </c>
      <c r="E521" t="inlineStr">
        <is>
          <t xml:space="preserve">светло-бирюзовый</t>
        </is>
      </c>
      <c r="F521" t="inlineStr">
        <is>
          <t xml:space="preserve">56</t>
        </is>
      </c>
      <c r="G521">
        <v>1</v>
      </c>
      <c r="H521" s="2">
        <v>19.0</v>
      </c>
      <c r="I521" t="inlineStr">
        <is>
          <t xml:space="preserve">хлопок 100%</t>
        </is>
      </c>
      <c r="J521"/>
      <c r="K521" t="inlineStr">
        <is>
          <t xml:space="preserve">Бангладеш</t>
        </is>
      </c>
      <c r="L521" t="inlineStr">
        <is>
          <t xml:space="preserve">6204629000</t>
        </is>
      </c>
      <c r="M521" t="inlineStr">
        <is>
          <t xml:space="preserve">по запросу</t>
        </is>
      </c>
      <c r="N521" t="inlineStr">
        <is>
          <t xml:space="preserve">35 × 30 × 4</t>
        </is>
      </c>
      <c r="O521" t="inlineStr">
        <is>
          <t xml:space="preserve">0,28</t>
        </is>
      </c>
      <c r="P521" t="inlineStr">
        <is>
          <t xml:space="preserve">2026620783763</t>
        </is>
      </c>
      <c r="Q521" s="3" t="str">
        <f>HYPERLINK("https://modify.by/img/149603622/1.webp","фото")</f>
        <v>фото</v>
      </c>
      <c r="R521" s="3" t="str">
        <f>HYPERLINK("https://modify.by/catalog/shorty/149603622/?utm_source=price&amp;utm_medium=xlsx","открыть")</f>
        <v>открыть</v>
      </c>
    </row>
    <row r="522">
      <c r="A522" t="inlineStr">
        <is>
          <t xml:space="preserve">Женский</t>
        </is>
      </c>
      <c r="B522" t="inlineStr">
        <is>
          <t xml:space="preserve">Шорты</t>
        </is>
      </c>
      <c r="C522" t="inlineStr">
        <is>
          <t xml:space="preserve">Бермуды на резинке, черный</t>
        </is>
      </c>
      <c r="D522" t="inlineStr">
        <is>
          <t xml:space="preserve">CP32W02Черный</t>
        </is>
      </c>
      <c r="E522" t="inlineStr">
        <is>
          <t xml:space="preserve">черный</t>
        </is>
      </c>
      <c r="F522" t="inlineStr">
        <is>
          <t xml:space="preserve">52</t>
        </is>
      </c>
      <c r="G522">
        <v>1</v>
      </c>
      <c r="H522" s="2">
        <v>19.0</v>
      </c>
      <c r="I522" t="inlineStr">
        <is>
          <t xml:space="preserve">хлопок 100%</t>
        </is>
      </c>
      <c r="J522"/>
      <c r="K522" t="inlineStr">
        <is>
          <t xml:space="preserve">Бангладеш</t>
        </is>
      </c>
      <c r="L522" t="inlineStr">
        <is>
          <t xml:space="preserve">6204629000</t>
        </is>
      </c>
      <c r="M522" t="inlineStr">
        <is>
          <t xml:space="preserve">Декларация № ЕАЭС № BY/112 11.01. ТР017 122.01 08246, до 19.04.2028</t>
        </is>
      </c>
      <c r="N522" t="inlineStr">
        <is>
          <t xml:space="preserve">35 × 30 × 4</t>
        </is>
      </c>
      <c r="O522" t="inlineStr">
        <is>
          <t xml:space="preserve">0,28</t>
        </is>
      </c>
      <c r="P522" t="inlineStr">
        <is>
          <t xml:space="preserve">2026620783848</t>
        </is>
      </c>
      <c r="Q522" s="3" t="str">
        <f>HYPERLINK("https://modify.by/img/149603632/1.webp","фото")</f>
        <v>фото</v>
      </c>
      <c r="R522" s="3" t="str">
        <f>HYPERLINK("https://modify.by/catalog/shorty/149603632/?utm_source=price&amp;utm_medium=xlsx","открыть")</f>
        <v>открыть</v>
      </c>
    </row>
    <row r="523">
      <c r="A523" t="inlineStr">
        <is>
          <t xml:space="preserve">Женский</t>
        </is>
      </c>
      <c r="B523" t="inlineStr">
        <is>
          <t xml:space="preserve">Шорты</t>
        </is>
      </c>
      <c r="C523" t="inlineStr">
        <is>
          <t xml:space="preserve">Бермуды на резинке, черный</t>
        </is>
      </c>
      <c r="D523" t="inlineStr">
        <is>
          <t xml:space="preserve">CP32W02Черный</t>
        </is>
      </c>
      <c r="E523" t="inlineStr">
        <is>
          <t xml:space="preserve">черный</t>
        </is>
      </c>
      <c r="F523" t="inlineStr">
        <is>
          <t xml:space="preserve">52</t>
        </is>
      </c>
      <c r="G523">
        <v>1</v>
      </c>
      <c r="H523" s="2">
        <v>19.0</v>
      </c>
      <c r="I523" t="inlineStr">
        <is>
          <t xml:space="preserve">хлопок 100%</t>
        </is>
      </c>
      <c r="J523"/>
      <c r="K523" t="inlineStr">
        <is>
          <t xml:space="preserve">Бангладеш</t>
        </is>
      </c>
      <c r="L523" t="inlineStr">
        <is>
          <t xml:space="preserve">6204629000</t>
        </is>
      </c>
      <c r="M523" t="inlineStr">
        <is>
          <t xml:space="preserve">Декларация № ЕАЭС № BY/112 11.01. ТР017 122.01 08246, до 19.04.2028</t>
        </is>
      </c>
      <c r="N523" t="inlineStr">
        <is>
          <t xml:space="preserve">35 × 30 × 4</t>
        </is>
      </c>
      <c r="O523" t="inlineStr">
        <is>
          <t xml:space="preserve">0,28</t>
        </is>
      </c>
      <c r="P523" t="inlineStr">
        <is>
          <t xml:space="preserve">4816148112927</t>
        </is>
      </c>
      <c r="Q523" s="3" t="str">
        <f>HYPERLINK("https://modify.by/img/149603632/1.webp","фото")</f>
        <v>фото</v>
      </c>
      <c r="R523" s="3" t="str">
        <f>HYPERLINK("https://modify.by/catalog/shorty/149603632/?utm_source=price&amp;utm_medium=xlsx","открыть")</f>
        <v>открыть</v>
      </c>
    </row>
    <row r="524">
      <c r="A524" t="inlineStr">
        <is>
          <t xml:space="preserve">Женский</t>
        </is>
      </c>
      <c r="B524" t="inlineStr">
        <is>
          <t xml:space="preserve">Шорты</t>
        </is>
      </c>
      <c r="C524" t="inlineStr">
        <is>
          <t xml:space="preserve">Бермуды на резинке, черный</t>
        </is>
      </c>
      <c r="D524" t="inlineStr">
        <is>
          <t xml:space="preserve">CP32W02Черный</t>
        </is>
      </c>
      <c r="E524" t="inlineStr">
        <is>
          <t xml:space="preserve">черный</t>
        </is>
      </c>
      <c r="F524" t="inlineStr">
        <is>
          <t xml:space="preserve">54</t>
        </is>
      </c>
      <c r="G524">
        <v>3</v>
      </c>
      <c r="H524" s="2">
        <v>19.0</v>
      </c>
      <c r="I524" t="inlineStr">
        <is>
          <t xml:space="preserve">хлопок 100%</t>
        </is>
      </c>
      <c r="J524"/>
      <c r="K524" t="inlineStr">
        <is>
          <t xml:space="preserve">Бангладеш</t>
        </is>
      </c>
      <c r="L524" t="inlineStr">
        <is>
          <t xml:space="preserve">6204629000</t>
        </is>
      </c>
      <c r="M524" t="inlineStr">
        <is>
          <t xml:space="preserve">Декларация № ЕАЭС № BY/112 11.01. ТР017 122.01 08246, до 19.04.2028</t>
        </is>
      </c>
      <c r="N524" t="inlineStr">
        <is>
          <t xml:space="preserve">35 × 30 × 4</t>
        </is>
      </c>
      <c r="O524" t="inlineStr">
        <is>
          <t xml:space="preserve">0,28</t>
        </is>
      </c>
      <c r="P524" t="inlineStr">
        <is>
          <t xml:space="preserve">2026620783831</t>
        </is>
      </c>
      <c r="Q524" s="3" t="str">
        <f>HYPERLINK("https://modify.by/img/149603632/1.webp","фото")</f>
        <v>фото</v>
      </c>
      <c r="R524" s="3" t="str">
        <f>HYPERLINK("https://modify.by/catalog/shorty/149603632/?utm_source=price&amp;utm_medium=xlsx","открыть")</f>
        <v>открыть</v>
      </c>
    </row>
    <row r="525">
      <c r="A525" t="inlineStr">
        <is>
          <t xml:space="preserve">Женский</t>
        </is>
      </c>
      <c r="B525" t="inlineStr">
        <is>
          <t xml:space="preserve">Шорты</t>
        </is>
      </c>
      <c r="C525" t="inlineStr">
        <is>
          <t xml:space="preserve">Бермуды на резинке, черный</t>
        </is>
      </c>
      <c r="D525" t="inlineStr">
        <is>
          <t xml:space="preserve">CP32W02Черный</t>
        </is>
      </c>
      <c r="E525" t="inlineStr">
        <is>
          <t xml:space="preserve">черный</t>
        </is>
      </c>
      <c r="F525" t="inlineStr">
        <is>
          <t xml:space="preserve">54</t>
        </is>
      </c>
      <c r="G525">
        <v>3</v>
      </c>
      <c r="H525" s="2">
        <v>19.0</v>
      </c>
      <c r="I525" t="inlineStr">
        <is>
          <t xml:space="preserve">хлопок 100%</t>
        </is>
      </c>
      <c r="J525"/>
      <c r="K525" t="inlineStr">
        <is>
          <t xml:space="preserve">Бангладеш</t>
        </is>
      </c>
      <c r="L525" t="inlineStr">
        <is>
          <t xml:space="preserve">6204629000</t>
        </is>
      </c>
      <c r="M525" t="inlineStr">
        <is>
          <t xml:space="preserve">Декларация № ЕАЭС № BY/112 11.01. ТР017 122.01 08246, до 19.04.2028</t>
        </is>
      </c>
      <c r="N525" t="inlineStr">
        <is>
          <t xml:space="preserve">35 × 30 × 4</t>
        </is>
      </c>
      <c r="O525" t="inlineStr">
        <is>
          <t xml:space="preserve">0,28</t>
        </is>
      </c>
      <c r="P525" t="inlineStr">
        <is>
          <t xml:space="preserve">4816148112934</t>
        </is>
      </c>
      <c r="Q525" s="3" t="str">
        <f>HYPERLINK("https://modify.by/img/149603632/1.webp","фото")</f>
        <v>фото</v>
      </c>
      <c r="R525" s="3" t="str">
        <f>HYPERLINK("https://modify.by/catalog/shorty/149603632/?utm_source=price&amp;utm_medium=xlsx","открыть")</f>
        <v>открыть</v>
      </c>
    </row>
    <row r="526">
      <c r="A526" t="inlineStr">
        <is>
          <t xml:space="preserve">Женский</t>
        </is>
      </c>
      <c r="B526" t="inlineStr">
        <is>
          <t xml:space="preserve">Шорты</t>
        </is>
      </c>
      <c r="C526" t="inlineStr">
        <is>
          <t xml:space="preserve">Бермуды на резинке, черный</t>
        </is>
      </c>
      <c r="D526" t="inlineStr">
        <is>
          <t xml:space="preserve">CP32W02Черный</t>
        </is>
      </c>
      <c r="E526" t="inlineStr">
        <is>
          <t xml:space="preserve">черный</t>
        </is>
      </c>
      <c r="F526" t="inlineStr">
        <is>
          <t xml:space="preserve">56</t>
        </is>
      </c>
      <c r="G526">
        <v>13</v>
      </c>
      <c r="H526" s="2">
        <v>19.0</v>
      </c>
      <c r="I526" t="inlineStr">
        <is>
          <t xml:space="preserve">хлопок 100%</t>
        </is>
      </c>
      <c r="J526"/>
      <c r="K526" t="inlineStr">
        <is>
          <t xml:space="preserve">Бангладеш</t>
        </is>
      </c>
      <c r="L526" t="inlineStr">
        <is>
          <t xml:space="preserve">6204629000</t>
        </is>
      </c>
      <c r="M526" t="inlineStr">
        <is>
          <t xml:space="preserve">Декларация № ЕАЭС № BY/112 11.01. ТР017 122.01 08246, до 19.04.2028</t>
        </is>
      </c>
      <c r="N526" t="inlineStr">
        <is>
          <t xml:space="preserve">35 × 30 × 4</t>
        </is>
      </c>
      <c r="O526" t="inlineStr">
        <is>
          <t xml:space="preserve">0,28</t>
        </is>
      </c>
      <c r="P526" t="inlineStr">
        <is>
          <t xml:space="preserve">2026620783824</t>
        </is>
      </c>
      <c r="Q526" s="3" t="str">
        <f>HYPERLINK("https://modify.by/img/149603632/1.webp","фото")</f>
        <v>фото</v>
      </c>
      <c r="R526" s="3" t="str">
        <f>HYPERLINK("https://modify.by/catalog/shorty/149603632/?utm_source=price&amp;utm_medium=xlsx","открыть")</f>
        <v>открыть</v>
      </c>
    </row>
    <row r="527">
      <c r="A527" t="inlineStr">
        <is>
          <t xml:space="preserve">Женский</t>
        </is>
      </c>
      <c r="B527" t="inlineStr">
        <is>
          <t xml:space="preserve">Шорты</t>
        </is>
      </c>
      <c r="C527" t="inlineStr">
        <is>
          <t xml:space="preserve">Бермуды на резинке, черный</t>
        </is>
      </c>
      <c r="D527" t="inlineStr">
        <is>
          <t xml:space="preserve">CP32W02Черный</t>
        </is>
      </c>
      <c r="E527" t="inlineStr">
        <is>
          <t xml:space="preserve">черный</t>
        </is>
      </c>
      <c r="F527" t="inlineStr">
        <is>
          <t xml:space="preserve">56</t>
        </is>
      </c>
      <c r="G527">
        <v>13</v>
      </c>
      <c r="H527" s="2">
        <v>19.0</v>
      </c>
      <c r="I527" t="inlineStr">
        <is>
          <t xml:space="preserve">хлопок 100%</t>
        </is>
      </c>
      <c r="J527"/>
      <c r="K527" t="inlineStr">
        <is>
          <t xml:space="preserve">Бангладеш</t>
        </is>
      </c>
      <c r="L527" t="inlineStr">
        <is>
          <t xml:space="preserve">6204629000</t>
        </is>
      </c>
      <c r="M527" t="inlineStr">
        <is>
          <t xml:space="preserve">Декларация № ЕАЭС № BY/112 11.01. ТР017 122.01 08246, до 19.04.2028</t>
        </is>
      </c>
      <c r="N527" t="inlineStr">
        <is>
          <t xml:space="preserve">35 × 30 × 4</t>
        </is>
      </c>
      <c r="O527" t="inlineStr">
        <is>
          <t xml:space="preserve">0,28</t>
        </is>
      </c>
      <c r="P527" t="inlineStr">
        <is>
          <t xml:space="preserve">4816148112941</t>
        </is>
      </c>
      <c r="Q527" s="3" t="str">
        <f>HYPERLINK("https://modify.by/img/149603632/1.webp","фото")</f>
        <v>фото</v>
      </c>
      <c r="R527" s="3" t="str">
        <f>HYPERLINK("https://modify.by/catalog/shorty/149603632/?utm_source=price&amp;utm_medium=xlsx","открыть")</f>
        <v>открыть</v>
      </c>
    </row>
    <row r="528">
      <c r="A528" t="inlineStr">
        <is>
          <t xml:space="preserve">Женский</t>
        </is>
      </c>
      <c r="B528" t="inlineStr">
        <is>
          <t xml:space="preserve">Шорты</t>
        </is>
      </c>
      <c r="C528" t="inlineStr">
        <is>
          <t xml:space="preserve">Капри Tone</t>
        </is>
      </c>
      <c r="D528" t="inlineStr">
        <is>
          <t xml:space="preserve">CP02W9Пудровый</t>
        </is>
      </c>
      <c r="E528" t="inlineStr">
        <is>
          <t xml:space="preserve">пудровый</t>
        </is>
      </c>
      <c r="F528" t="inlineStr">
        <is>
          <t xml:space="preserve">52-54</t>
        </is>
      </c>
      <c r="G528">
        <v>1</v>
      </c>
      <c r="H528" s="2">
        <v>24.0</v>
      </c>
      <c r="I528" t="inlineStr">
        <is>
          <t xml:space="preserve">хлопок 80%, Эластан 2%, полиэстер 18%</t>
        </is>
      </c>
      <c r="J528"/>
      <c r="K528" t="inlineStr">
        <is>
          <t xml:space="preserve">Бангладеш</t>
        </is>
      </c>
      <c r="L528" t="inlineStr">
        <is>
          <t xml:space="preserve">6204639000</t>
        </is>
      </c>
      <c r="M528" t="inlineStr">
        <is>
          <t xml:space="preserve">по запросу</t>
        </is>
      </c>
      <c r="N528"/>
      <c r="O528"/>
      <c r="P528" t="inlineStr">
        <is>
          <t xml:space="preserve">8595633667208</t>
        </is>
      </c>
      <c r="Q528" s="3" t="str">
        <f>HYPERLINK("https://modify.by/img/14370042/1.webp","фото")</f>
        <v>фото</v>
      </c>
      <c r="R528" s="3" t="str">
        <f>HYPERLINK("https://modify.by/catalog/shorty/14370042/?utm_source=price&amp;utm_medium=xlsx","открыть")</f>
        <v>открыть</v>
      </c>
    </row>
    <row r="529">
      <c r="A529" t="inlineStr">
        <is>
          <t xml:space="preserve">Женский</t>
        </is>
      </c>
      <c r="B529" t="inlineStr">
        <is>
          <t xml:space="preserve">Шорты</t>
        </is>
      </c>
      <c r="C529" t="inlineStr">
        <is>
          <t xml:space="preserve">Широкие шорты с поясом</t>
        </is>
      </c>
      <c r="D529" t="inlineStr">
        <is>
          <t xml:space="preserve">SE32W01Индиго</t>
        </is>
      </c>
      <c r="E529" t="inlineStr">
        <is>
          <t xml:space="preserve">индиго</t>
        </is>
      </c>
      <c r="F529" t="inlineStr">
        <is>
          <t xml:space="preserve">50</t>
        </is>
      </c>
      <c r="G529">
        <v>1</v>
      </c>
      <c r="H529" s="2">
        <v>16.0</v>
      </c>
      <c r="I529" t="inlineStr">
        <is>
          <t xml:space="preserve">полиэстер 100%</t>
        </is>
      </c>
      <c r="J529"/>
      <c r="K529" t="inlineStr">
        <is>
          <t xml:space="preserve">Бангладеш</t>
        </is>
      </c>
      <c r="L529" t="inlineStr">
        <is>
          <t xml:space="preserve">6204629000</t>
        </is>
      </c>
      <c r="M529" t="inlineStr">
        <is>
          <t xml:space="preserve">по запросу</t>
        </is>
      </c>
      <c r="N529" t="inlineStr">
        <is>
          <t xml:space="preserve">35 × 30 × 3</t>
        </is>
      </c>
      <c r="O529" t="inlineStr">
        <is>
          <t xml:space="preserve">0,29</t>
        </is>
      </c>
      <c r="P529" t="inlineStr">
        <is>
          <t xml:space="preserve">2026620783589</t>
        </is>
      </c>
      <c r="Q529" s="3" t="str">
        <f>HYPERLINK("https://modify.by/img/149603633/1.webp","фото")</f>
        <v>фото</v>
      </c>
      <c r="R529" s="3" t="str">
        <f>HYPERLINK("https://modify.by/catalog/shorty/149603633/?utm_source=price&amp;utm_medium=xlsx","открыть")</f>
        <v>открыть</v>
      </c>
    </row>
    <row r="530">
      <c r="A530" t="inlineStr">
        <is>
          <t xml:space="preserve">Женский</t>
        </is>
      </c>
      <c r="B530" t="inlineStr">
        <is>
          <t xml:space="preserve">Шорты</t>
        </is>
      </c>
      <c r="C530" t="inlineStr">
        <is>
          <t xml:space="preserve">Шорты</t>
        </is>
      </c>
      <c r="D530" t="inlineStr">
        <is>
          <t xml:space="preserve">CP12W05*Белый</t>
        </is>
      </c>
      <c r="E530"/>
      <c r="F530" t="inlineStr">
        <is>
          <t xml:space="preserve">46</t>
        </is>
      </c>
      <c r="G530">
        <v>1</v>
      </c>
      <c r="H530" s="2">
        <v>21.0</v>
      </c>
      <c r="I530" t="inlineStr">
        <is>
          <t xml:space="preserve">хлопок 71%, Эластан 2%, полиэстер 27%</t>
        </is>
      </c>
      <c r="J530"/>
      <c r="K530" t="inlineStr">
        <is>
          <t xml:space="preserve">Бангладеш</t>
        </is>
      </c>
      <c r="L530" t="inlineStr">
        <is>
          <t xml:space="preserve">6204639000</t>
        </is>
      </c>
      <c r="M530" t="inlineStr">
        <is>
          <t xml:space="preserve">по запросу</t>
        </is>
      </c>
      <c r="N530"/>
      <c r="O530"/>
      <c r="P530" t="inlineStr">
        <is>
          <t xml:space="preserve">8595633713011</t>
        </is>
      </c>
      <c r="Q530" s="3" t="str">
        <f>HYPERLINK("https://modify.by/img/77298357/1.webp","фото")</f>
        <v>фото</v>
      </c>
      <c r="R530" s="3" t="str">
        <f>HYPERLINK("https://modify.by/catalog/shorty/77298357/?utm_source=price&amp;utm_medium=xlsx","открыть")</f>
        <v>открыть</v>
      </c>
    </row>
    <row r="531">
      <c r="A531" t="inlineStr">
        <is>
          <t xml:space="preserve">Женский</t>
        </is>
      </c>
      <c r="B531" t="inlineStr">
        <is>
          <t xml:space="preserve">Шорты</t>
        </is>
      </c>
      <c r="C531" t="inlineStr">
        <is>
          <t xml:space="preserve">Шорты</t>
        </is>
      </c>
      <c r="D531" t="inlineStr">
        <is>
          <t xml:space="preserve">CP12W05*Белый</t>
        </is>
      </c>
      <c r="E531"/>
      <c r="F531" t="inlineStr">
        <is>
          <t xml:space="preserve">50-52</t>
        </is>
      </c>
      <c r="G531">
        <v>1</v>
      </c>
      <c r="H531" s="2">
        <v>21.0</v>
      </c>
      <c r="I531" t="inlineStr">
        <is>
          <t xml:space="preserve">хлопок 71%, Эластан 2%, полиэстер 27%</t>
        </is>
      </c>
      <c r="J531"/>
      <c r="K531" t="inlineStr">
        <is>
          <t xml:space="preserve">Бангладеш</t>
        </is>
      </c>
      <c r="L531" t="inlineStr">
        <is>
          <t xml:space="preserve">6204639000</t>
        </is>
      </c>
      <c r="M531" t="inlineStr">
        <is>
          <t xml:space="preserve">по запросу</t>
        </is>
      </c>
      <c r="N531"/>
      <c r="O531"/>
      <c r="P531" t="inlineStr">
        <is>
          <t xml:space="preserve">8595633713035</t>
        </is>
      </c>
      <c r="Q531" s="3" t="str">
        <f>HYPERLINK("https://modify.by/img/77298357/1.webp","фото")</f>
        <v>фото</v>
      </c>
      <c r="R531" s="3" t="str">
        <f>HYPERLINK("https://modify.by/catalog/shorty/77298357/?utm_source=price&amp;utm_medium=xlsx","открыть")</f>
        <v>открыть</v>
      </c>
    </row>
    <row r="532">
      <c r="A532" t="inlineStr">
        <is>
          <t xml:space="preserve">Женский</t>
        </is>
      </c>
      <c r="B532" t="inlineStr">
        <is>
          <t xml:space="preserve">Шорты</t>
        </is>
      </c>
      <c r="C532" t="inlineStr">
        <is>
          <t xml:space="preserve">Шорты</t>
        </is>
      </c>
      <c r="D532" t="inlineStr">
        <is>
          <t xml:space="preserve">CP12W05*Белый</t>
        </is>
      </c>
      <c r="E532"/>
      <c r="F532" t="inlineStr">
        <is>
          <t xml:space="preserve">54-56</t>
        </is>
      </c>
      <c r="G532">
        <v>1</v>
      </c>
      <c r="H532" s="2">
        <v>21.0</v>
      </c>
      <c r="I532" t="inlineStr">
        <is>
          <t xml:space="preserve">хлопок 71%, Эластан 2%, полиэстер 27%</t>
        </is>
      </c>
      <c r="J532"/>
      <c r="K532" t="inlineStr">
        <is>
          <t xml:space="preserve">Бангладеш</t>
        </is>
      </c>
      <c r="L532" t="inlineStr">
        <is>
          <t xml:space="preserve">6204639000</t>
        </is>
      </c>
      <c r="M532" t="inlineStr">
        <is>
          <t xml:space="preserve">по запросу</t>
        </is>
      </c>
      <c r="N532"/>
      <c r="O532"/>
      <c r="P532" t="inlineStr">
        <is>
          <t xml:space="preserve">8595633713059</t>
        </is>
      </c>
      <c r="Q532" s="3" t="str">
        <f>HYPERLINK("https://modify.by/img/77298357/1.webp","фото")</f>
        <v>фото</v>
      </c>
      <c r="R532" s="3" t="str">
        <f>HYPERLINK("https://modify.by/catalog/shorty/77298357/?utm_source=price&amp;utm_medium=xlsx","открыть")</f>
        <v>открыть</v>
      </c>
    </row>
    <row r="533">
      <c r="A533" t="inlineStr">
        <is>
          <t xml:space="preserve">Женский</t>
        </is>
      </c>
      <c r="B533" t="inlineStr">
        <is>
          <t xml:space="preserve">Шорты</t>
        </is>
      </c>
      <c r="C533" t="inlineStr">
        <is>
          <t xml:space="preserve">Шорты бермуды джинсовые белые большие размеры</t>
        </is>
      </c>
      <c r="D533" t="inlineStr">
        <is>
          <t xml:space="preserve">BE32W07белый</t>
        </is>
      </c>
      <c r="E533" t="inlineStr">
        <is>
          <t xml:space="preserve">белый</t>
        </is>
      </c>
      <c r="F533" t="inlineStr">
        <is>
          <t xml:space="preserve">48</t>
        </is>
      </c>
      <c r="G533">
        <v>1</v>
      </c>
      <c r="H533" s="2">
        <v>29.0</v>
      </c>
      <c r="I533" t="inlineStr">
        <is>
          <t xml:space="preserve">Хлопок 98% Эластан 2%</t>
        </is>
      </c>
      <c r="J533" t="inlineStr">
        <is>
          <t xml:space="preserve">лето</t>
        </is>
      </c>
      <c r="K533" t="inlineStr">
        <is>
          <t xml:space="preserve">Бангладеш</t>
        </is>
      </c>
      <c r="L533" t="inlineStr">
        <is>
          <t xml:space="preserve">6204629000</t>
        </is>
      </c>
      <c r="M533" t="inlineStr">
        <is>
          <t xml:space="preserve">Декларация № ЕАЭС № BY/112 11.01. ТР017 122.01 08246, до 19.04.2028</t>
        </is>
      </c>
      <c r="N533" t="inlineStr">
        <is>
          <t xml:space="preserve">30 × 35 × 2</t>
        </is>
      </c>
      <c r="O533" t="inlineStr">
        <is>
          <t xml:space="preserve">0,35</t>
        </is>
      </c>
      <c r="P533" t="inlineStr">
        <is>
          <t xml:space="preserve">2038096199849</t>
        </is>
      </c>
      <c r="Q533" s="3" t="str">
        <f>HYPERLINK("https://modify.by/img/212299692/1.webp","фото")</f>
        <v>фото</v>
      </c>
      <c r="R533" s="3" t="str">
        <f>HYPERLINK("https://modify.by/catalog/shorty/212299692/?utm_source=price&amp;utm_medium=xlsx","открыть")</f>
        <v>открыть</v>
      </c>
    </row>
    <row r="534">
      <c r="A534" t="inlineStr">
        <is>
          <t xml:space="preserve">Женский</t>
        </is>
      </c>
      <c r="B534" t="inlineStr">
        <is>
          <t xml:space="preserve">Шорты</t>
        </is>
      </c>
      <c r="C534" t="inlineStr">
        <is>
          <t xml:space="preserve">Шорты бермуды джинсовые белые большие размеры</t>
        </is>
      </c>
      <c r="D534" t="inlineStr">
        <is>
          <t xml:space="preserve">BE32W07белый</t>
        </is>
      </c>
      <c r="E534" t="inlineStr">
        <is>
          <t xml:space="preserve">белый</t>
        </is>
      </c>
      <c r="F534" t="inlineStr">
        <is>
          <t xml:space="preserve">50</t>
        </is>
      </c>
      <c r="G534">
        <v>9</v>
      </c>
      <c r="H534" s="2">
        <v>41.0</v>
      </c>
      <c r="I534" t="inlineStr">
        <is>
          <t xml:space="preserve">Хлопок 98% Эластан 2%</t>
        </is>
      </c>
      <c r="J534" t="inlineStr">
        <is>
          <t xml:space="preserve">лето</t>
        </is>
      </c>
      <c r="K534" t="inlineStr">
        <is>
          <t xml:space="preserve">Бангладеш</t>
        </is>
      </c>
      <c r="L534" t="inlineStr">
        <is>
          <t xml:space="preserve">6204629000</t>
        </is>
      </c>
      <c r="M534" t="inlineStr">
        <is>
          <t xml:space="preserve">Декларация № ЕАЭС № BY/112 11.01. ТР017 122.01 08246, до 19.04.2028</t>
        </is>
      </c>
      <c r="N534" t="inlineStr">
        <is>
          <t xml:space="preserve">30 × 35 × 2</t>
        </is>
      </c>
      <c r="O534" t="inlineStr">
        <is>
          <t xml:space="preserve">0,35</t>
        </is>
      </c>
      <c r="P534" t="inlineStr">
        <is>
          <t xml:space="preserve">4816148100887</t>
        </is>
      </c>
      <c r="Q534" s="3" t="str">
        <f>HYPERLINK("https://modify.by/img/212299692/1.webp","фото")</f>
        <v>фото</v>
      </c>
      <c r="R534" s="3" t="str">
        <f>HYPERLINK("https://modify.by/catalog/shorty/212299692/?utm_source=price&amp;utm_medium=xlsx","открыть")</f>
        <v>открыть</v>
      </c>
    </row>
    <row r="535">
      <c r="A535" t="inlineStr">
        <is>
          <t xml:space="preserve">Женский</t>
        </is>
      </c>
      <c r="B535" t="inlineStr">
        <is>
          <t xml:space="preserve">Шорты</t>
        </is>
      </c>
      <c r="C535" t="inlineStr">
        <is>
          <t xml:space="preserve">Шорты бермуды джинсовые белые большие размеры</t>
        </is>
      </c>
      <c r="D535" t="inlineStr">
        <is>
          <t xml:space="preserve">BE32W07белый</t>
        </is>
      </c>
      <c r="E535" t="inlineStr">
        <is>
          <t xml:space="preserve">белый</t>
        </is>
      </c>
      <c r="F535" t="inlineStr">
        <is>
          <t xml:space="preserve">52</t>
        </is>
      </c>
      <c r="G535">
        <v>1</v>
      </c>
      <c r="H535" s="2">
        <v>29.0</v>
      </c>
      <c r="I535" t="inlineStr">
        <is>
          <t xml:space="preserve">Хлопок 98% Эластан 2%</t>
        </is>
      </c>
      <c r="J535" t="inlineStr">
        <is>
          <t xml:space="preserve">лето</t>
        </is>
      </c>
      <c r="K535" t="inlineStr">
        <is>
          <t xml:space="preserve">Бангладеш</t>
        </is>
      </c>
      <c r="L535" t="inlineStr">
        <is>
          <t xml:space="preserve">6204629000</t>
        </is>
      </c>
      <c r="M535" t="inlineStr">
        <is>
          <t xml:space="preserve">Декларация № ЕАЭС № BY/112 11.01. ТР017 122.01 08246, до 19.04.2028</t>
        </is>
      </c>
      <c r="N535" t="inlineStr">
        <is>
          <t xml:space="preserve">30 × 35 × 2</t>
        </is>
      </c>
      <c r="O535" t="inlineStr">
        <is>
          <t xml:space="preserve">0,35</t>
        </is>
      </c>
      <c r="P535" t="inlineStr">
        <is>
          <t xml:space="preserve">2038096199863</t>
        </is>
      </c>
      <c r="Q535" s="3" t="str">
        <f>HYPERLINK("https://modify.by/img/212299692/1.webp","фото")</f>
        <v>фото</v>
      </c>
      <c r="R535" s="3" t="str">
        <f>HYPERLINK("https://modify.by/catalog/shorty/212299692/?utm_source=price&amp;utm_medium=xlsx","открыть")</f>
        <v>открыть</v>
      </c>
    </row>
    <row r="536">
      <c r="A536" t="inlineStr">
        <is>
          <t xml:space="preserve">Женский</t>
        </is>
      </c>
      <c r="B536" t="inlineStr">
        <is>
          <t xml:space="preserve">Шорты</t>
        </is>
      </c>
      <c r="C536" t="inlineStr">
        <is>
          <t xml:space="preserve">Шорты бермуды джинсовые белые большие размеры</t>
        </is>
      </c>
      <c r="D536" t="inlineStr">
        <is>
          <t xml:space="preserve">BE32W07белый</t>
        </is>
      </c>
      <c r="E536" t="inlineStr">
        <is>
          <t xml:space="preserve">белый</t>
        </is>
      </c>
      <c r="F536" t="inlineStr">
        <is>
          <t xml:space="preserve">52</t>
        </is>
      </c>
      <c r="G536">
        <v>1</v>
      </c>
      <c r="H536" s="2">
        <v>29.0</v>
      </c>
      <c r="I536" t="inlineStr">
        <is>
          <t xml:space="preserve">Хлопок 98% Эластан 2%</t>
        </is>
      </c>
      <c r="J536" t="inlineStr">
        <is>
          <t xml:space="preserve">лето</t>
        </is>
      </c>
      <c r="K536" t="inlineStr">
        <is>
          <t xml:space="preserve">Бангладеш</t>
        </is>
      </c>
      <c r="L536" t="inlineStr">
        <is>
          <t xml:space="preserve">6204629000</t>
        </is>
      </c>
      <c r="M536" t="inlineStr">
        <is>
          <t xml:space="preserve">Декларация № ЕАЭС № BY/112 11.01. ТР017 122.01 08246, до 19.04.2028</t>
        </is>
      </c>
      <c r="N536" t="inlineStr">
        <is>
          <t xml:space="preserve">30 × 35 × 2</t>
        </is>
      </c>
      <c r="O536" t="inlineStr">
        <is>
          <t xml:space="preserve">0,35</t>
        </is>
      </c>
      <c r="P536" t="inlineStr">
        <is>
          <t xml:space="preserve">4816148108586</t>
        </is>
      </c>
      <c r="Q536" s="3" t="str">
        <f>HYPERLINK("https://modify.by/img/212299692/1.webp","фото")</f>
        <v>фото</v>
      </c>
      <c r="R536" s="3" t="str">
        <f>HYPERLINK("https://modify.by/catalog/shorty/212299692/?utm_source=price&amp;utm_medium=xlsx","открыть")</f>
        <v>открыть</v>
      </c>
    </row>
    <row r="537">
      <c r="A537" t="inlineStr">
        <is>
          <t xml:space="preserve">Женский</t>
        </is>
      </c>
      <c r="B537" t="inlineStr">
        <is>
          <t xml:space="preserve">Шорты</t>
        </is>
      </c>
      <c r="C537" t="inlineStr">
        <is>
          <t xml:space="preserve">Шорты бермуды джинсовые белые большие размеры</t>
        </is>
      </c>
      <c r="D537" t="inlineStr">
        <is>
          <t xml:space="preserve">BE32W07белый</t>
        </is>
      </c>
      <c r="E537" t="inlineStr">
        <is>
          <t xml:space="preserve">белый</t>
        </is>
      </c>
      <c r="F537" t="inlineStr">
        <is>
          <t xml:space="preserve">54</t>
        </is>
      </c>
      <c r="G537">
        <v>1</v>
      </c>
      <c r="H537" s="2">
        <v>41.0</v>
      </c>
      <c r="I537" t="inlineStr">
        <is>
          <t xml:space="preserve">Хлопок 98% Эластан 2%</t>
        </is>
      </c>
      <c r="J537" t="inlineStr">
        <is>
          <t xml:space="preserve">лето</t>
        </is>
      </c>
      <c r="K537" t="inlineStr">
        <is>
          <t xml:space="preserve">Бангладеш</t>
        </is>
      </c>
      <c r="L537" t="inlineStr">
        <is>
          <t xml:space="preserve">6204629000</t>
        </is>
      </c>
      <c r="M537" t="inlineStr">
        <is>
          <t xml:space="preserve">Декларация № ЕАЭС № BY/112 11.01. ТР017 122.01 08246, до 19.04.2028</t>
        </is>
      </c>
      <c r="N537" t="inlineStr">
        <is>
          <t xml:space="preserve">30 × 35 × 2</t>
        </is>
      </c>
      <c r="O537" t="inlineStr">
        <is>
          <t xml:space="preserve">0,35</t>
        </is>
      </c>
      <c r="P537" t="inlineStr">
        <is>
          <t xml:space="preserve">4816148100900</t>
        </is>
      </c>
      <c r="Q537" s="3" t="str">
        <f>HYPERLINK("https://modify.by/img/212299692/1.webp","фото")</f>
        <v>фото</v>
      </c>
      <c r="R537" s="3" t="str">
        <f>HYPERLINK("https://modify.by/catalog/shorty/212299692/?utm_source=price&amp;utm_medium=xlsx","открыть")</f>
        <v>открыть</v>
      </c>
    </row>
    <row r="538">
      <c r="A538" t="inlineStr">
        <is>
          <t xml:space="preserve">Женский</t>
        </is>
      </c>
      <c r="B538" t="inlineStr">
        <is>
          <t xml:space="preserve">Шорты</t>
        </is>
      </c>
      <c r="C538" t="inlineStr">
        <is>
          <t xml:space="preserve">Шорты бермуды джинсовые белые большие размеры</t>
        </is>
      </c>
      <c r="D538" t="inlineStr">
        <is>
          <t xml:space="preserve">BE32W07белый</t>
        </is>
      </c>
      <c r="E538" t="inlineStr">
        <is>
          <t xml:space="preserve">белый</t>
        </is>
      </c>
      <c r="F538" t="inlineStr">
        <is>
          <t xml:space="preserve">56</t>
        </is>
      </c>
      <c r="G538">
        <v>3</v>
      </c>
      <c r="H538" s="2">
        <v>41.0</v>
      </c>
      <c r="I538" t="inlineStr">
        <is>
          <t xml:space="preserve">Хлопок 98% Эластан 2%</t>
        </is>
      </c>
      <c r="J538" t="inlineStr">
        <is>
          <t xml:space="preserve">лето</t>
        </is>
      </c>
      <c r="K538" t="inlineStr">
        <is>
          <t xml:space="preserve">Бангладеш</t>
        </is>
      </c>
      <c r="L538" t="inlineStr">
        <is>
          <t xml:space="preserve">6204629000</t>
        </is>
      </c>
      <c r="M538" t="inlineStr">
        <is>
          <t xml:space="preserve">Декларация № ЕАЭС № BY/112 11.01. ТР017 122.01 08246, до 19.04.2028</t>
        </is>
      </c>
      <c r="N538" t="inlineStr">
        <is>
          <t xml:space="preserve">30 × 35 × 2</t>
        </is>
      </c>
      <c r="O538" t="inlineStr">
        <is>
          <t xml:space="preserve">0,35</t>
        </is>
      </c>
      <c r="P538" t="inlineStr">
        <is>
          <t xml:space="preserve">4816148100917</t>
        </is>
      </c>
      <c r="Q538" s="3" t="str">
        <f>HYPERLINK("https://modify.by/img/212299692/1.webp","фото")</f>
        <v>фото</v>
      </c>
      <c r="R538" s="3" t="str">
        <f>HYPERLINK("https://modify.by/catalog/shorty/212299692/?utm_source=price&amp;utm_medium=xlsx","открыть")</f>
        <v>открыть</v>
      </c>
    </row>
    <row r="539">
      <c r="A539" t="inlineStr">
        <is>
          <t xml:space="preserve">Женский</t>
        </is>
      </c>
      <c r="B539" t="inlineStr">
        <is>
          <t xml:space="preserve">Шорты</t>
        </is>
      </c>
      <c r="C539" t="inlineStr">
        <is>
          <t xml:space="preserve">Шорты бермуды джинсовые белые большие размеры</t>
        </is>
      </c>
      <c r="D539" t="inlineStr">
        <is>
          <t xml:space="preserve">BE32W07белый</t>
        </is>
      </c>
      <c r="E539" t="inlineStr">
        <is>
          <t xml:space="preserve">белый</t>
        </is>
      </c>
      <c r="F539" t="inlineStr">
        <is>
          <t xml:space="preserve">62</t>
        </is>
      </c>
      <c r="G539">
        <v>1</v>
      </c>
      <c r="H539" s="2">
        <v>29.0</v>
      </c>
      <c r="I539" t="inlineStr">
        <is>
          <t xml:space="preserve">Хлопок 98% Эластан 2%</t>
        </is>
      </c>
      <c r="J539" t="inlineStr">
        <is>
          <t xml:space="preserve">лето</t>
        </is>
      </c>
      <c r="K539" t="inlineStr">
        <is>
          <t xml:space="preserve">Бангладеш</t>
        </is>
      </c>
      <c r="L539" t="inlineStr">
        <is>
          <t xml:space="preserve">6204629000</t>
        </is>
      </c>
      <c r="M539" t="inlineStr">
        <is>
          <t xml:space="preserve">Декларация № ЕАЭС № BY/112 11.01. ТР017 122.01 08246, до 19.04.2028</t>
        </is>
      </c>
      <c r="N539" t="inlineStr">
        <is>
          <t xml:space="preserve">30 × 35 × 2</t>
        </is>
      </c>
      <c r="O539" t="inlineStr">
        <is>
          <t xml:space="preserve">0,35</t>
        </is>
      </c>
      <c r="P539" t="inlineStr">
        <is>
          <t xml:space="preserve">2038096199917</t>
        </is>
      </c>
      <c r="Q539" s="3" t="str">
        <f>HYPERLINK("https://modify.by/img/212299692/1.webp","фото")</f>
        <v>фото</v>
      </c>
      <c r="R539" s="3" t="str">
        <f>HYPERLINK("https://modify.by/catalog/shorty/212299692/?utm_source=price&amp;utm_medium=xlsx","открыть")</f>
        <v>открыть</v>
      </c>
    </row>
    <row r="540">
      <c r="A540" t="inlineStr">
        <is>
          <t xml:space="preserve">Женский</t>
        </is>
      </c>
      <c r="B540" t="inlineStr">
        <is>
          <t xml:space="preserve">Шорты</t>
        </is>
      </c>
      <c r="C540" t="inlineStr">
        <is>
          <t xml:space="preserve">Шорты бермуды джинсовые белые большие размеры</t>
        </is>
      </c>
      <c r="D540" t="inlineStr">
        <is>
          <t xml:space="preserve">BE32W07белый</t>
        </is>
      </c>
      <c r="E540" t="inlineStr">
        <is>
          <t xml:space="preserve">белый</t>
        </is>
      </c>
      <c r="F540" t="inlineStr">
        <is>
          <t xml:space="preserve">62</t>
        </is>
      </c>
      <c r="G540">
        <v>1</v>
      </c>
      <c r="H540" s="2">
        <v>29.0</v>
      </c>
      <c r="I540" t="inlineStr">
        <is>
          <t xml:space="preserve">Хлопок 98% Эластан 2%</t>
        </is>
      </c>
      <c r="J540" t="inlineStr">
        <is>
          <t xml:space="preserve">лето</t>
        </is>
      </c>
      <c r="K540" t="inlineStr">
        <is>
          <t xml:space="preserve">Бангладеш</t>
        </is>
      </c>
      <c r="L540" t="inlineStr">
        <is>
          <t xml:space="preserve">6204629000</t>
        </is>
      </c>
      <c r="M540" t="inlineStr">
        <is>
          <t xml:space="preserve">Декларация № ЕАЭС № BY/112 11.01. ТР017 122.01 08246, до 19.04.2028</t>
        </is>
      </c>
      <c r="N540" t="inlineStr">
        <is>
          <t xml:space="preserve">30 × 35 × 2</t>
        </is>
      </c>
      <c r="O540" t="inlineStr">
        <is>
          <t xml:space="preserve">0,35</t>
        </is>
      </c>
      <c r="P540" t="inlineStr">
        <is>
          <t xml:space="preserve">4816148179432</t>
        </is>
      </c>
      <c r="Q540" s="3" t="str">
        <f>HYPERLINK("https://modify.by/img/212299692/1.webp","фото")</f>
        <v>фото</v>
      </c>
      <c r="R540" s="3" t="str">
        <f>HYPERLINK("https://modify.by/catalog/shorty/212299692/?utm_source=price&amp;utm_medium=xlsx","открыть")</f>
        <v>открыть</v>
      </c>
    </row>
    <row r="541">
      <c r="A541" t="inlineStr">
        <is>
          <t xml:space="preserve">Женский</t>
        </is>
      </c>
      <c r="B541" t="inlineStr">
        <is>
          <t xml:space="preserve">Шорты</t>
        </is>
      </c>
      <c r="C541" t="inlineStr">
        <is>
          <t xml:space="preserve">Шорты бермуды хлопковые большие размеры, белый</t>
        </is>
      </c>
      <c r="D541" t="inlineStr">
        <is>
          <t xml:space="preserve">BE62W03белый,голубой</t>
        </is>
      </c>
      <c r="E541" t="inlineStr">
        <is>
          <t xml:space="preserve">белый, голубой</t>
        </is>
      </c>
      <c r="F541" t="inlineStr">
        <is>
          <t xml:space="preserve">68</t>
        </is>
      </c>
      <c r="G541">
        <v>1</v>
      </c>
      <c r="H541" s="2">
        <v>29.0</v>
      </c>
      <c r="I541" t="inlineStr">
        <is>
          <t xml:space="preserve">98% хлопок, 2% спандекс</t>
        </is>
      </c>
      <c r="J541" t="inlineStr">
        <is>
          <t xml:space="preserve">лето</t>
        </is>
      </c>
      <c r="K541" t="inlineStr">
        <is>
          <t xml:space="preserve">Бангладеш</t>
        </is>
      </c>
      <c r="L541" t="inlineStr">
        <is>
          <t xml:space="preserve">6204629000</t>
        </is>
      </c>
      <c r="M541" t="inlineStr">
        <is>
          <t xml:space="preserve">Декларация № ЕАЭС № BY/112 11.01. ТР017 122.01 08246, до 19.04.2028</t>
        </is>
      </c>
      <c r="N541" t="inlineStr">
        <is>
          <t xml:space="preserve">25 × 15 × 5</t>
        </is>
      </c>
      <c r="O541" t="inlineStr">
        <is>
          <t xml:space="preserve">0,35</t>
        </is>
      </c>
      <c r="P541" t="inlineStr">
        <is>
          <t xml:space="preserve">4816148181992</t>
        </is>
      </c>
      <c r="Q541" s="3" t="str">
        <f>HYPERLINK("https://modify.by/img/920284995/1.webp","фото")</f>
        <v>фото</v>
      </c>
      <c r="R541" s="3" t="str">
        <f>HYPERLINK("https://modify.by/catalog/shorty/920284995/?utm_source=price&amp;utm_medium=xlsx","открыть")</f>
        <v>открыть</v>
      </c>
    </row>
    <row r="542">
      <c r="A542" t="inlineStr">
        <is>
          <t xml:space="preserve">Женский</t>
        </is>
      </c>
      <c r="B542" t="inlineStr">
        <is>
          <t xml:space="preserve">Шорты</t>
        </is>
      </c>
      <c r="C542" t="inlineStr">
        <is>
          <t xml:space="preserve">Шорты бермуды хлопковые большие размеры, серо-коричневый</t>
        </is>
      </c>
      <c r="D542" t="inlineStr">
        <is>
          <t xml:space="preserve">BE62W03_тауп</t>
        </is>
      </c>
      <c r="E542" t="inlineStr">
        <is>
          <t xml:space="preserve">серо-коричневый, тауп</t>
        </is>
      </c>
      <c r="F542" t="inlineStr">
        <is>
          <t xml:space="preserve">56</t>
        </is>
      </c>
      <c r="G542">
        <v>1</v>
      </c>
      <c r="H542" s="2">
        <v>29.0</v>
      </c>
      <c r="I542" t="inlineStr">
        <is>
          <t xml:space="preserve">98% хлопок, 2% спандекс</t>
        </is>
      </c>
      <c r="J542" t="inlineStr">
        <is>
          <t xml:space="preserve">лето</t>
        </is>
      </c>
      <c r="K542" t="inlineStr">
        <is>
          <t xml:space="preserve">Бангладеш</t>
        </is>
      </c>
      <c r="L542" t="inlineStr">
        <is>
          <t xml:space="preserve">6204629000</t>
        </is>
      </c>
      <c r="M542" t="inlineStr">
        <is>
          <t xml:space="preserve">Декларация № ЕАЭС № BY/112 11.01. ТР017 122.01 08246, до 19.04.2028</t>
        </is>
      </c>
      <c r="N542" t="inlineStr">
        <is>
          <t xml:space="preserve">25 × 15 × 5</t>
        </is>
      </c>
      <c r="O542" t="inlineStr">
        <is>
          <t xml:space="preserve">0,35</t>
        </is>
      </c>
      <c r="P542" t="inlineStr">
        <is>
          <t xml:space="preserve">4816148182029</t>
        </is>
      </c>
      <c r="Q542" s="3" t="str">
        <f>HYPERLINK("https://modify.by/img/902212495/1.webp","фото")</f>
        <v>фото</v>
      </c>
      <c r="R542" s="3" t="str">
        <f>HYPERLINK("https://modify.by/catalog/shorty/902212495/?utm_source=price&amp;utm_medium=xlsx","открыть")</f>
        <v>открыть</v>
      </c>
    </row>
    <row r="543">
      <c r="A543" t="inlineStr">
        <is>
          <t xml:space="preserve">Женский</t>
        </is>
      </c>
      <c r="B543" t="inlineStr">
        <is>
          <t xml:space="preserve">Шорты</t>
        </is>
      </c>
      <c r="C543" t="inlineStr">
        <is>
          <t xml:space="preserve">Шорты бермуды хлопковые большие размеры, серый, арт. BE62W03белый_песок</t>
        </is>
      </c>
      <c r="D543" t="inlineStr">
        <is>
          <t xml:space="preserve">BE62W03белый_песок</t>
        </is>
      </c>
      <c r="E543" t="inlineStr">
        <is>
          <t xml:space="preserve">серый</t>
        </is>
      </c>
      <c r="F543" t="inlineStr">
        <is>
          <t xml:space="preserve">56</t>
        </is>
      </c>
      <c r="G543">
        <v>2</v>
      </c>
      <c r="H543" s="2">
        <v>29.0</v>
      </c>
      <c r="I543" t="inlineStr">
        <is>
          <t xml:space="preserve">98% хлопок, 2% спандекс</t>
        </is>
      </c>
      <c r="J543" t="inlineStr">
        <is>
          <t xml:space="preserve">лето</t>
        </is>
      </c>
      <c r="K543" t="inlineStr">
        <is>
          <t xml:space="preserve">Бангладеш</t>
        </is>
      </c>
      <c r="L543" t="inlineStr">
        <is>
          <t xml:space="preserve">6204629000</t>
        </is>
      </c>
      <c r="M543" t="inlineStr">
        <is>
          <t xml:space="preserve">Декларация № ЕАЭС № BY/112 11.01. ТР017 122.01 08246, до 19.04.2028</t>
        </is>
      </c>
      <c r="N543" t="inlineStr">
        <is>
          <t xml:space="preserve">25 × 15 × 5</t>
        </is>
      </c>
      <c r="O543" t="inlineStr">
        <is>
          <t xml:space="preserve">0,35</t>
        </is>
      </c>
      <c r="P543" t="inlineStr">
        <is>
          <t xml:space="preserve">4816148181558</t>
        </is>
      </c>
      <c r="Q543" s="3" t="str">
        <f>HYPERLINK("https://modify.by/img/922761038/1.webp","фото")</f>
        <v>фото</v>
      </c>
      <c r="R543" s="3" t="str">
        <f>HYPERLINK("https://modify.by/catalog/shorty/922761038/?utm_source=price&amp;utm_medium=xlsx","открыть")</f>
        <v>открыть</v>
      </c>
    </row>
    <row r="544">
      <c r="A544" t="inlineStr">
        <is>
          <t xml:space="preserve">Женский</t>
        </is>
      </c>
      <c r="B544" t="inlineStr">
        <is>
          <t xml:space="preserve">Шорты</t>
        </is>
      </c>
      <c r="C544" t="inlineStr">
        <is>
          <t xml:space="preserve">Шорты бермуды хлопковые большие размеры, серый, арт. BE62W03белый_песок</t>
        </is>
      </c>
      <c r="D544" t="inlineStr">
        <is>
          <t xml:space="preserve">BE62W03белый_песок</t>
        </is>
      </c>
      <c r="E544" t="inlineStr">
        <is>
          <t xml:space="preserve">серый</t>
        </is>
      </c>
      <c r="F544" t="inlineStr">
        <is>
          <t xml:space="preserve">58</t>
        </is>
      </c>
      <c r="G544">
        <v>1</v>
      </c>
      <c r="H544" s="2">
        <v>29.0</v>
      </c>
      <c r="I544" t="inlineStr">
        <is>
          <t xml:space="preserve">98% хлопок, 2% спандекс</t>
        </is>
      </c>
      <c r="J544" t="inlineStr">
        <is>
          <t xml:space="preserve">лето</t>
        </is>
      </c>
      <c r="K544" t="inlineStr">
        <is>
          <t xml:space="preserve">Бангладеш</t>
        </is>
      </c>
      <c r="L544" t="inlineStr">
        <is>
          <t xml:space="preserve">6204629000</t>
        </is>
      </c>
      <c r="M544" t="inlineStr">
        <is>
          <t xml:space="preserve">Декларация № ЕАЭС № BY/112 11.01. ТР017 122.01 08246, до 19.04.2028</t>
        </is>
      </c>
      <c r="N544" t="inlineStr">
        <is>
          <t xml:space="preserve">25 × 15 × 5</t>
        </is>
      </c>
      <c r="O544" t="inlineStr">
        <is>
          <t xml:space="preserve">0,35</t>
        </is>
      </c>
      <c r="P544" t="inlineStr">
        <is>
          <t xml:space="preserve">4816148181565</t>
        </is>
      </c>
      <c r="Q544" s="3" t="str">
        <f>HYPERLINK("https://modify.by/img/922761038/1.webp","фото")</f>
        <v>фото</v>
      </c>
      <c r="R544" s="3" t="str">
        <f>HYPERLINK("https://modify.by/catalog/shorty/922761038/?utm_source=price&amp;utm_medium=xlsx","открыть")</f>
        <v>открыть</v>
      </c>
    </row>
    <row r="545">
      <c r="A545" t="inlineStr">
        <is>
          <t xml:space="preserve">Женский</t>
        </is>
      </c>
      <c r="B545" t="inlineStr">
        <is>
          <t xml:space="preserve">Шорты</t>
        </is>
      </c>
      <c r="C545" t="inlineStr">
        <is>
          <t xml:space="preserve">Шорты бермуды хлопковые большие размеры, серый, арт. BE62W03белый_песок</t>
        </is>
      </c>
      <c r="D545" t="inlineStr">
        <is>
          <t xml:space="preserve">BE62W03белый_песок</t>
        </is>
      </c>
      <c r="E545" t="inlineStr">
        <is>
          <t xml:space="preserve">серый</t>
        </is>
      </c>
      <c r="F545" t="inlineStr">
        <is>
          <t xml:space="preserve">60</t>
        </is>
      </c>
      <c r="G545">
        <v>2</v>
      </c>
      <c r="H545" s="2">
        <v>29.0</v>
      </c>
      <c r="I545" t="inlineStr">
        <is>
          <t xml:space="preserve">98% хлопок, 2% спандекс</t>
        </is>
      </c>
      <c r="J545" t="inlineStr">
        <is>
          <t xml:space="preserve">лето</t>
        </is>
      </c>
      <c r="K545" t="inlineStr">
        <is>
          <t xml:space="preserve">Бангладеш</t>
        </is>
      </c>
      <c r="L545" t="inlineStr">
        <is>
          <t xml:space="preserve">6204629000</t>
        </is>
      </c>
      <c r="M545" t="inlineStr">
        <is>
          <t xml:space="preserve">Декларация № ЕАЭС № BY/112 11.01. ТР017 122.01 08246, до 19.04.2028</t>
        </is>
      </c>
      <c r="N545" t="inlineStr">
        <is>
          <t xml:space="preserve">25 × 15 × 5</t>
        </is>
      </c>
      <c r="O545" t="inlineStr">
        <is>
          <t xml:space="preserve">0,35</t>
        </is>
      </c>
      <c r="P545" t="inlineStr">
        <is>
          <t xml:space="preserve">4816148181572</t>
        </is>
      </c>
      <c r="Q545" s="3" t="str">
        <f>HYPERLINK("https://modify.by/img/922761038/1.webp","фото")</f>
        <v>фото</v>
      </c>
      <c r="R545" s="3" t="str">
        <f>HYPERLINK("https://modify.by/catalog/shorty/922761038/?utm_source=price&amp;utm_medium=xlsx","открыть")</f>
        <v>открыть</v>
      </c>
    </row>
    <row r="546">
      <c r="A546" t="inlineStr">
        <is>
          <t xml:space="preserve">Женский</t>
        </is>
      </c>
      <c r="B546" t="inlineStr">
        <is>
          <t xml:space="preserve">Шорты</t>
        </is>
      </c>
      <c r="C546" t="inlineStr">
        <is>
          <t xml:space="preserve">Шорты бермуды хлопковые большие размеры, серый, арт. BE62W03белый_песок</t>
        </is>
      </c>
      <c r="D546" t="inlineStr">
        <is>
          <t xml:space="preserve">BE62W03белый_песок</t>
        </is>
      </c>
      <c r="E546" t="inlineStr">
        <is>
          <t xml:space="preserve">серый</t>
        </is>
      </c>
      <c r="F546" t="inlineStr">
        <is>
          <t xml:space="preserve">64</t>
        </is>
      </c>
      <c r="G546">
        <v>1</v>
      </c>
      <c r="H546" s="2">
        <v>29.0</v>
      </c>
      <c r="I546" t="inlineStr">
        <is>
          <t xml:space="preserve">98% хлопок, 2% спандекс</t>
        </is>
      </c>
      <c r="J546" t="inlineStr">
        <is>
          <t xml:space="preserve">лето</t>
        </is>
      </c>
      <c r="K546" t="inlineStr">
        <is>
          <t xml:space="preserve">Бангладеш</t>
        </is>
      </c>
      <c r="L546" t="inlineStr">
        <is>
          <t xml:space="preserve">6204629000</t>
        </is>
      </c>
      <c r="M546" t="inlineStr">
        <is>
          <t xml:space="preserve">Декларация № ЕАЭС № BY/112 11.01. ТР017 122.01 08246, до 19.04.2028</t>
        </is>
      </c>
      <c r="N546" t="inlineStr">
        <is>
          <t xml:space="preserve">25 × 15 × 5</t>
        </is>
      </c>
      <c r="O546" t="inlineStr">
        <is>
          <t xml:space="preserve">0,35</t>
        </is>
      </c>
      <c r="P546" t="inlineStr">
        <is>
          <t xml:space="preserve">4816148181596</t>
        </is>
      </c>
      <c r="Q546" s="3" t="str">
        <f>HYPERLINK("https://modify.by/img/922761038/1.webp","фото")</f>
        <v>фото</v>
      </c>
      <c r="R546" s="3" t="str">
        <f>HYPERLINK("https://modify.by/catalog/shorty/922761038/?utm_source=price&amp;utm_medium=xlsx","открыть")</f>
        <v>открыть</v>
      </c>
    </row>
    <row r="547">
      <c r="A547" t="inlineStr">
        <is>
          <t xml:space="preserve">Женский</t>
        </is>
      </c>
      <c r="B547" t="inlineStr">
        <is>
          <t xml:space="preserve">Шорты</t>
        </is>
      </c>
      <c r="C547" t="inlineStr">
        <is>
          <t xml:space="preserve">Шорты бермуды хлопковые большие размеры, серый, арт. BE62W03белый_песок</t>
        </is>
      </c>
      <c r="D547" t="inlineStr">
        <is>
          <t xml:space="preserve">BE62W03белый_песок</t>
        </is>
      </c>
      <c r="E547" t="inlineStr">
        <is>
          <t xml:space="preserve">серый</t>
        </is>
      </c>
      <c r="F547" t="inlineStr">
        <is>
          <t xml:space="preserve">68</t>
        </is>
      </c>
      <c r="G547">
        <v>1</v>
      </c>
      <c r="H547" s="2">
        <v>29.0</v>
      </c>
      <c r="I547" t="inlineStr">
        <is>
          <t xml:space="preserve">98% хлопок, 2% спандекс</t>
        </is>
      </c>
      <c r="J547" t="inlineStr">
        <is>
          <t xml:space="preserve">лето</t>
        </is>
      </c>
      <c r="K547" t="inlineStr">
        <is>
          <t xml:space="preserve">Бангладеш</t>
        </is>
      </c>
      <c r="L547" t="inlineStr">
        <is>
          <t xml:space="preserve">6204629000</t>
        </is>
      </c>
      <c r="M547" t="inlineStr">
        <is>
          <t xml:space="preserve">Декларация № ЕАЭС № BY/112 11.01. ТР017 122.01 08246, до 19.04.2028</t>
        </is>
      </c>
      <c r="N547" t="inlineStr">
        <is>
          <t xml:space="preserve">25 × 15 × 5</t>
        </is>
      </c>
      <c r="O547" t="inlineStr">
        <is>
          <t xml:space="preserve">0,35</t>
        </is>
      </c>
      <c r="P547" t="inlineStr">
        <is>
          <t xml:space="preserve">4816148181619</t>
        </is>
      </c>
      <c r="Q547" s="3" t="str">
        <f>HYPERLINK("https://modify.by/img/922761038/1.webp","фото")</f>
        <v>фото</v>
      </c>
      <c r="R547" s="3" t="str">
        <f>HYPERLINK("https://modify.by/catalog/shorty/922761038/?utm_source=price&amp;utm_medium=xlsx","открыть")</f>
        <v>открыть</v>
      </c>
    </row>
    <row r="548">
      <c r="A548" t="inlineStr">
        <is>
          <t xml:space="preserve">Женский</t>
        </is>
      </c>
      <c r="B548" t="inlineStr">
        <is>
          <t xml:space="preserve">Шорты</t>
        </is>
      </c>
      <c r="C548" t="inlineStr">
        <is>
          <t xml:space="preserve">Шорты бермуды хлопковые большие размеры, серый, арт. BE62W03серый</t>
        </is>
      </c>
      <c r="D548" t="inlineStr">
        <is>
          <t xml:space="preserve">BE62W03серый</t>
        </is>
      </c>
      <c r="E548" t="inlineStr">
        <is>
          <t xml:space="preserve">серый</t>
        </is>
      </c>
      <c r="F548" t="inlineStr">
        <is>
          <t xml:space="preserve">66</t>
        </is>
      </c>
      <c r="G548">
        <v>1</v>
      </c>
      <c r="H548" s="2">
        <v>29.0</v>
      </c>
      <c r="I548" t="inlineStr">
        <is>
          <t xml:space="preserve">98% хлопок, 2% спандекс</t>
        </is>
      </c>
      <c r="J548" t="inlineStr">
        <is>
          <t xml:space="preserve">лето</t>
        </is>
      </c>
      <c r="K548" t="inlineStr">
        <is>
          <t xml:space="preserve">Бангладеш</t>
        </is>
      </c>
      <c r="L548" t="inlineStr">
        <is>
          <t xml:space="preserve">6204629000</t>
        </is>
      </c>
      <c r="M548" t="inlineStr">
        <is>
          <t xml:space="preserve">Декларация № ЕАЭС № BY/112 11.01. ТР017 122.01 08246, до 19.04.2028</t>
        </is>
      </c>
      <c r="N548" t="inlineStr">
        <is>
          <t xml:space="preserve">25 × 15 × 5</t>
        </is>
      </c>
      <c r="O548" t="inlineStr">
        <is>
          <t xml:space="preserve">0,35</t>
        </is>
      </c>
      <c r="P548" t="inlineStr">
        <is>
          <t xml:space="preserve">4816148181343</t>
        </is>
      </c>
      <c r="Q548" s="3" t="str">
        <f>HYPERLINK("https://modify.by/img/922612696/1.webp","фото")</f>
        <v>фото</v>
      </c>
      <c r="R548" s="3" t="str">
        <f>HYPERLINK("https://modify.by/catalog/shorty/922612696/?utm_source=price&amp;utm_medium=xlsx","открыть")</f>
        <v>открыть</v>
      </c>
    </row>
    <row r="549">
      <c r="A549" t="inlineStr">
        <is>
          <t xml:space="preserve">Женский</t>
        </is>
      </c>
      <c r="B549" t="inlineStr">
        <is>
          <t xml:space="preserve">Шорты</t>
        </is>
      </c>
      <c r="C549" t="inlineStr">
        <is>
          <t xml:space="preserve">Шорты бермуды хлопковые большие размеры, темно-синий</t>
        </is>
      </c>
      <c r="D549" t="inlineStr">
        <is>
          <t xml:space="preserve">BE42W01темно-синий</t>
        </is>
      </c>
      <c r="E549" t="inlineStr">
        <is>
          <t xml:space="preserve">темно-синий</t>
        </is>
      </c>
      <c r="F549" t="inlineStr">
        <is>
          <t xml:space="preserve">50</t>
        </is>
      </c>
      <c r="G549">
        <v>1</v>
      </c>
      <c r="H549" s="2">
        <v>25.0</v>
      </c>
      <c r="I549" t="inlineStr">
        <is>
          <t xml:space="preserve">хлопок 100%</t>
        </is>
      </c>
      <c r="J549"/>
      <c r="K549" t="inlineStr">
        <is>
          <t xml:space="preserve">Бангладеш</t>
        </is>
      </c>
      <c r="L549" t="inlineStr">
        <is>
          <t xml:space="preserve">6204629000</t>
        </is>
      </c>
      <c r="M549" t="inlineStr">
        <is>
          <t xml:space="preserve">Декларация № ЕАЭС № BY/112 11.01. ТР017 122.01 08246, до 19.04.2028</t>
        </is>
      </c>
      <c r="N549" t="inlineStr">
        <is>
          <t xml:space="preserve">38 × 27 × 2</t>
        </is>
      </c>
      <c r="O549" t="inlineStr">
        <is>
          <t xml:space="preserve">0,35</t>
        </is>
      </c>
      <c r="P549" t="inlineStr">
        <is>
          <t xml:space="preserve">4816148102867</t>
        </is>
      </c>
      <c r="Q549" s="3" t="str">
        <f>HYPERLINK("https://modify.by/img/234690482/1.webp","фото")</f>
        <v>фото</v>
      </c>
      <c r="R549" s="3" t="str">
        <f>HYPERLINK("https://modify.by/catalog/shorty/234690482/?utm_source=price&amp;utm_medium=xlsx","открыть")</f>
        <v>открыть</v>
      </c>
    </row>
    <row r="550">
      <c r="A550" t="inlineStr">
        <is>
          <t xml:space="preserve">Женский</t>
        </is>
      </c>
      <c r="B550" t="inlineStr">
        <is>
          <t xml:space="preserve">Шорты</t>
        </is>
      </c>
      <c r="C550" t="inlineStr">
        <is>
          <t xml:space="preserve">Шорты бермуды хлопковые большие размеры, травяной зеленый</t>
        </is>
      </c>
      <c r="D550" t="inlineStr">
        <is>
          <t xml:space="preserve">BE62W03_Зеленый</t>
        </is>
      </c>
      <c r="E550" t="inlineStr">
        <is>
          <t xml:space="preserve">травяной зеленый</t>
        </is>
      </c>
      <c r="F550" t="inlineStr">
        <is>
          <t xml:space="preserve">56</t>
        </is>
      </c>
      <c r="G550">
        <v>1</v>
      </c>
      <c r="H550" s="2">
        <v>29.0</v>
      </c>
      <c r="I550" t="inlineStr">
        <is>
          <t xml:space="preserve">98% хлопок, 2% спандекс</t>
        </is>
      </c>
      <c r="J550" t="inlineStr">
        <is>
          <t xml:space="preserve">лето</t>
        </is>
      </c>
      <c r="K550" t="inlineStr">
        <is>
          <t xml:space="preserve">Бангладеш</t>
        </is>
      </c>
      <c r="L550" t="inlineStr">
        <is>
          <t xml:space="preserve">6204629000</t>
        </is>
      </c>
      <c r="M550" t="inlineStr">
        <is>
          <t xml:space="preserve">Декларация № ЕАЭС № BY/112 11.01. ТР017 122.01 08246, до 19.04.2028</t>
        </is>
      </c>
      <c r="N550" t="inlineStr">
        <is>
          <t xml:space="preserve">25 × 15 × 5</t>
        </is>
      </c>
      <c r="O550" t="inlineStr">
        <is>
          <t xml:space="preserve">0,35</t>
        </is>
      </c>
      <c r="P550" t="inlineStr">
        <is>
          <t xml:space="preserve">4816148182111</t>
        </is>
      </c>
      <c r="Q550" s="3" t="str">
        <f>HYPERLINK("https://modify.by/img/1011494489/1.webp","фото")</f>
        <v>фото</v>
      </c>
      <c r="R550" s="3" t="str">
        <f>HYPERLINK("https://modify.by/catalog/shorty/1011494489/?utm_source=price&amp;utm_medium=xlsx","открыть")</f>
        <v>открыть</v>
      </c>
    </row>
    <row r="551">
      <c r="A551" t="inlineStr">
        <is>
          <t xml:space="preserve">Женский</t>
        </is>
      </c>
      <c r="B551" t="inlineStr">
        <is>
          <t xml:space="preserve">Шорты</t>
        </is>
      </c>
      <c r="C551" t="inlineStr">
        <is>
          <t xml:space="preserve">Шорты бермуды, белый</t>
        </is>
      </c>
      <c r="D551" t="inlineStr">
        <is>
          <t xml:space="preserve">CP12W04белый</t>
        </is>
      </c>
      <c r="E551" t="inlineStr">
        <is>
          <t xml:space="preserve">белый</t>
        </is>
      </c>
      <c r="F551" t="inlineStr">
        <is>
          <t xml:space="preserve">46-48</t>
        </is>
      </c>
      <c r="G551">
        <v>2</v>
      </c>
      <c r="H551" s="2">
        <v>21.0</v>
      </c>
      <c r="I551" t="inlineStr">
        <is>
          <t xml:space="preserve">хлопок, эластан</t>
        </is>
      </c>
      <c r="J551"/>
      <c r="K551" t="inlineStr">
        <is>
          <t xml:space="preserve">Бангладеш</t>
        </is>
      </c>
      <c r="L551" t="inlineStr">
        <is>
          <t xml:space="preserve">6204639000</t>
        </is>
      </c>
      <c r="M551" t="inlineStr">
        <is>
          <t xml:space="preserve">по запросу</t>
        </is>
      </c>
      <c r="N551"/>
      <c r="O551"/>
      <c r="P551" t="inlineStr">
        <is>
          <t xml:space="preserve">8595633714131</t>
        </is>
      </c>
      <c r="Q551" s="3" t="str">
        <f>HYPERLINK("https://modify.by/img/32018414/1.webp","фото")</f>
        <v>фото</v>
      </c>
      <c r="R551" s="3" t="str">
        <f>HYPERLINK("https://modify.by/catalog/shorty/32018414/?utm_source=price&amp;utm_medium=xlsx","открыть")</f>
        <v>открыть</v>
      </c>
    </row>
    <row r="552">
      <c r="A552" t="inlineStr">
        <is>
          <t xml:space="preserve">Женский</t>
        </is>
      </c>
      <c r="B552" t="inlineStr">
        <is>
          <t xml:space="preserve">Шорты</t>
        </is>
      </c>
      <c r="C552" t="inlineStr">
        <is>
          <t xml:space="preserve">Шорты джинсовые длинные, темно-серый</t>
        </is>
      </c>
      <c r="D552" t="inlineStr">
        <is>
          <t xml:space="preserve">BE32M07Темно-серый</t>
        </is>
      </c>
      <c r="E552" t="inlineStr">
        <is>
          <t xml:space="preserve">темно-серый</t>
        </is>
      </c>
      <c r="F552" t="inlineStr">
        <is>
          <t xml:space="preserve">44</t>
        </is>
      </c>
      <c r="G552">
        <v>3</v>
      </c>
      <c r="H552" s="2">
        <v>35.0</v>
      </c>
      <c r="I552" t="inlineStr">
        <is>
          <t xml:space="preserve">98% хлопок 2% эластан</t>
        </is>
      </c>
      <c r="J552"/>
      <c r="K552" t="inlineStr">
        <is>
          <t xml:space="preserve">Бангладеш</t>
        </is>
      </c>
      <c r="L552" t="inlineStr">
        <is>
          <t xml:space="preserve">6204629000</t>
        </is>
      </c>
      <c r="M552" t="inlineStr">
        <is>
          <t xml:space="preserve">Декларация № ЕАЭС № BY/112 11.01. ТР017 122.01 08246, до 19.04.2028</t>
        </is>
      </c>
      <c r="N552" t="inlineStr">
        <is>
          <t xml:space="preserve">35 × 30 × 4</t>
        </is>
      </c>
      <c r="O552" t="inlineStr">
        <is>
          <t xml:space="preserve">0,35</t>
        </is>
      </c>
      <c r="P552" t="inlineStr">
        <is>
          <t xml:space="preserve">2026620782872</t>
        </is>
      </c>
      <c r="Q552" s="3" t="str">
        <f>HYPERLINK("https://modify.by/img/149441033/1.webp","фото")</f>
        <v>фото</v>
      </c>
      <c r="R552" s="3" t="str">
        <f>HYPERLINK("https://modify.by/catalog/shorty/149441033/?utm_source=price&amp;utm_medium=xlsx","открыть")</f>
        <v>открыть</v>
      </c>
    </row>
    <row r="553">
      <c r="A553" t="inlineStr">
        <is>
          <t xml:space="preserve">Женский</t>
        </is>
      </c>
      <c r="B553" t="inlineStr">
        <is>
          <t xml:space="preserve">Шорты</t>
        </is>
      </c>
      <c r="C553" t="inlineStr">
        <is>
          <t xml:space="preserve">Шорты джинсовые длинные, темно-серый</t>
        </is>
      </c>
      <c r="D553" t="inlineStr">
        <is>
          <t xml:space="preserve">BE32M07Темно-серый</t>
        </is>
      </c>
      <c r="E553" t="inlineStr">
        <is>
          <t xml:space="preserve">темно-серый</t>
        </is>
      </c>
      <c r="F553" t="inlineStr">
        <is>
          <t xml:space="preserve">46</t>
        </is>
      </c>
      <c r="G553">
        <v>1</v>
      </c>
      <c r="H553" s="2">
        <v>35.0</v>
      </c>
      <c r="I553" t="inlineStr">
        <is>
          <t xml:space="preserve">98% хлопок 2% эластан</t>
        </is>
      </c>
      <c r="J553"/>
      <c r="K553" t="inlineStr">
        <is>
          <t xml:space="preserve">Бангладеш</t>
        </is>
      </c>
      <c r="L553" t="inlineStr">
        <is>
          <t xml:space="preserve">6204629000</t>
        </is>
      </c>
      <c r="M553" t="inlineStr">
        <is>
          <t xml:space="preserve">Декларация № ЕАЭС № BY/112 11.01. ТР017 122.01 08246, до 19.04.2028</t>
        </is>
      </c>
      <c r="N553" t="inlineStr">
        <is>
          <t xml:space="preserve">35 × 30 × 4</t>
        </is>
      </c>
      <c r="O553" t="inlineStr">
        <is>
          <t xml:space="preserve">0,35</t>
        </is>
      </c>
      <c r="P553" t="inlineStr">
        <is>
          <t xml:space="preserve">2026620782865</t>
        </is>
      </c>
      <c r="Q553" s="3" t="str">
        <f>HYPERLINK("https://modify.by/img/149441033/1.webp","фото")</f>
        <v>фото</v>
      </c>
      <c r="R553" s="3" t="str">
        <f>HYPERLINK("https://modify.by/catalog/shorty/149441033/?utm_source=price&amp;utm_medium=xlsx","открыть")</f>
        <v>открыть</v>
      </c>
    </row>
    <row r="554">
      <c r="A554" t="inlineStr">
        <is>
          <t xml:space="preserve">Женский</t>
        </is>
      </c>
      <c r="B554" t="inlineStr">
        <is>
          <t xml:space="preserve">Шорты</t>
        </is>
      </c>
      <c r="C554" t="inlineStr">
        <is>
          <t xml:space="preserve">Шорты джинсовые длинные, темно-серый</t>
        </is>
      </c>
      <c r="D554" t="inlineStr">
        <is>
          <t xml:space="preserve">BE32M07Темно-серый</t>
        </is>
      </c>
      <c r="E554" t="inlineStr">
        <is>
          <t xml:space="preserve">темно-серый</t>
        </is>
      </c>
      <c r="F554" t="inlineStr">
        <is>
          <t xml:space="preserve">48</t>
        </is>
      </c>
      <c r="G554">
        <v>1</v>
      </c>
      <c r="H554" s="2">
        <v>35.0</v>
      </c>
      <c r="I554" t="inlineStr">
        <is>
          <t xml:space="preserve">98% хлопок 2% эластан</t>
        </is>
      </c>
      <c r="J554"/>
      <c r="K554" t="inlineStr">
        <is>
          <t xml:space="preserve">Бангладеш</t>
        </is>
      </c>
      <c r="L554" t="inlineStr">
        <is>
          <t xml:space="preserve">6204629000</t>
        </is>
      </c>
      <c r="M554" t="inlineStr">
        <is>
          <t xml:space="preserve">Декларация № ЕАЭС № BY/112 11.01. ТР017 122.01 08246, до 19.04.2028</t>
        </is>
      </c>
      <c r="N554" t="inlineStr">
        <is>
          <t xml:space="preserve">35 × 30 × 4</t>
        </is>
      </c>
      <c r="O554" t="inlineStr">
        <is>
          <t xml:space="preserve">0,35</t>
        </is>
      </c>
      <c r="P554" t="inlineStr">
        <is>
          <t xml:space="preserve">2026620782858</t>
        </is>
      </c>
      <c r="Q554" s="3" t="str">
        <f>HYPERLINK("https://modify.by/img/149441033/1.webp","фото")</f>
        <v>фото</v>
      </c>
      <c r="R554" s="3" t="str">
        <f>HYPERLINK("https://modify.by/catalog/shorty/149441033/?utm_source=price&amp;utm_medium=xlsx","открыть")</f>
        <v>открыть</v>
      </c>
    </row>
    <row r="555">
      <c r="A555" t="inlineStr">
        <is>
          <t xml:space="preserve">Женский</t>
        </is>
      </c>
      <c r="B555" t="inlineStr">
        <is>
          <t xml:space="preserve">Шорты</t>
        </is>
      </c>
      <c r="C555" t="inlineStr">
        <is>
          <t xml:space="preserve">Шорты джинсовые классические стрейч</t>
        </is>
      </c>
      <c r="D555" t="inlineStr">
        <is>
          <t xml:space="preserve">BE32W05голубой</t>
        </is>
      </c>
      <c r="E555" t="inlineStr">
        <is>
          <t xml:space="preserve">голубой, синий</t>
        </is>
      </c>
      <c r="F555" t="inlineStr">
        <is>
          <t xml:space="preserve">46</t>
        </is>
      </c>
      <c r="G555">
        <v>1</v>
      </c>
      <c r="H555" s="2">
        <v>26.0</v>
      </c>
      <c r="I555" t="inlineStr">
        <is>
          <t xml:space="preserve">хлопок 75% полиэстер 23% эластан 2%</t>
        </is>
      </c>
      <c r="J555"/>
      <c r="K555" t="inlineStr">
        <is>
          <t xml:space="preserve">Бангладеш</t>
        </is>
      </c>
      <c r="L555" t="inlineStr">
        <is>
          <t xml:space="preserve">6204629000</t>
        </is>
      </c>
      <c r="M555" t="inlineStr">
        <is>
          <t xml:space="preserve">по запросу</t>
        </is>
      </c>
      <c r="N555"/>
      <c r="O555"/>
      <c r="P555" t="inlineStr">
        <is>
          <t xml:space="preserve">2038096199801</t>
        </is>
      </c>
      <c r="Q555" s="3" t="str">
        <f>HYPERLINK("https://modify.by/img/212299694/1.webp","фото")</f>
        <v>фото</v>
      </c>
      <c r="R555" s="3" t="str">
        <f>HYPERLINK("https://modify.by/catalog/shorty/212299694/?utm_source=price&amp;utm_medium=xlsx","открыть")</f>
        <v>открыть</v>
      </c>
    </row>
    <row r="556">
      <c r="A556" t="inlineStr">
        <is>
          <t xml:space="preserve">Женский</t>
        </is>
      </c>
      <c r="B556" t="inlineStr">
        <is>
          <t xml:space="preserve">Шорты</t>
        </is>
      </c>
      <c r="C556" t="inlineStr">
        <is>
          <t xml:space="preserve">Шорты джинсовые классические стрейч</t>
        </is>
      </c>
      <c r="D556" t="inlineStr">
        <is>
          <t xml:space="preserve">BE32W05голубой</t>
        </is>
      </c>
      <c r="E556" t="inlineStr">
        <is>
          <t xml:space="preserve">голубой, синий</t>
        </is>
      </c>
      <c r="F556" t="inlineStr">
        <is>
          <t xml:space="preserve">54</t>
        </is>
      </c>
      <c r="G556">
        <v>1</v>
      </c>
      <c r="H556" s="2">
        <v>26.0</v>
      </c>
      <c r="I556" t="inlineStr">
        <is>
          <t xml:space="preserve">хлопок 75% полиэстер 23% эластан 2%</t>
        </is>
      </c>
      <c r="J556"/>
      <c r="K556" t="inlineStr">
        <is>
          <t xml:space="preserve">Бангладеш</t>
        </is>
      </c>
      <c r="L556" t="inlineStr">
        <is>
          <t xml:space="preserve">6204629000</t>
        </is>
      </c>
      <c r="M556" t="inlineStr">
        <is>
          <t xml:space="preserve">по запросу</t>
        </is>
      </c>
      <c r="N556"/>
      <c r="O556"/>
      <c r="P556" t="inlineStr">
        <is>
          <t xml:space="preserve">2038096204642</t>
        </is>
      </c>
      <c r="Q556" s="3" t="str">
        <f>HYPERLINK("https://modify.by/img/212299694/1.webp","фото")</f>
        <v>фото</v>
      </c>
      <c r="R556" s="3" t="str">
        <f>HYPERLINK("https://modify.by/catalog/shorty/212299694/?utm_source=price&amp;utm_medium=xlsx","открыть")</f>
        <v>открыть</v>
      </c>
    </row>
    <row r="557">
      <c r="A557" t="inlineStr">
        <is>
          <t xml:space="preserve">Женский</t>
        </is>
      </c>
      <c r="B557" t="inlineStr">
        <is>
          <t xml:space="preserve">Шорты</t>
        </is>
      </c>
      <c r="C557" t="inlineStr">
        <is>
          <t xml:space="preserve">Шорты джинсовые короткие</t>
        </is>
      </c>
      <c r="D557" t="inlineStr">
        <is>
          <t xml:space="preserve">BE32W03Голубой</t>
        </is>
      </c>
      <c r="E557" t="inlineStr">
        <is>
          <t xml:space="preserve">голубой</t>
        </is>
      </c>
      <c r="F557" t="inlineStr">
        <is>
          <t xml:space="preserve">40-42</t>
        </is>
      </c>
      <c r="G557">
        <v>3</v>
      </c>
      <c r="H557" s="2">
        <v>36.0</v>
      </c>
      <c r="I557" t="inlineStr">
        <is>
          <t xml:space="preserve">100% хлопок</t>
        </is>
      </c>
      <c r="J557"/>
      <c r="K557" t="inlineStr">
        <is>
          <t xml:space="preserve">Бангладеш</t>
        </is>
      </c>
      <c r="L557" t="inlineStr">
        <is>
          <t xml:space="preserve">6204629000</t>
        </is>
      </c>
      <c r="M557" t="inlineStr">
        <is>
          <t xml:space="preserve">Декларация № ЕАЭС № BY/112 11.01. ТР017 122.01 08246, до 19.04.2028</t>
        </is>
      </c>
      <c r="N557" t="inlineStr">
        <is>
          <t xml:space="preserve">28 × 28 × 3</t>
        </is>
      </c>
      <c r="O557" t="inlineStr">
        <is>
          <t xml:space="preserve">0,35</t>
        </is>
      </c>
      <c r="P557" t="inlineStr">
        <is>
          <t xml:space="preserve">2026620783138</t>
        </is>
      </c>
      <c r="Q557" s="3" t="str">
        <f>HYPERLINK("https://modify.by/img/149425464/1.webp","фото")</f>
        <v>фото</v>
      </c>
      <c r="R557" s="3" t="str">
        <f>HYPERLINK("https://modify.by/catalog/shorty/149425464/?utm_source=price&amp;utm_medium=xlsx","открыть")</f>
        <v>открыть</v>
      </c>
    </row>
    <row r="558">
      <c r="A558" t="inlineStr">
        <is>
          <t xml:space="preserve">Женский</t>
        </is>
      </c>
      <c r="B558" t="inlineStr">
        <is>
          <t xml:space="preserve">Шорты</t>
        </is>
      </c>
      <c r="C558" t="inlineStr">
        <is>
          <t xml:space="preserve">Шорты джинсовые короткие</t>
        </is>
      </c>
      <c r="D558" t="inlineStr">
        <is>
          <t xml:space="preserve">BE32W03Голубой</t>
        </is>
      </c>
      <c r="E558" t="inlineStr">
        <is>
          <t xml:space="preserve">голубой</t>
        </is>
      </c>
      <c r="F558" t="inlineStr">
        <is>
          <t xml:space="preserve">40-42</t>
        </is>
      </c>
      <c r="G558">
        <v>3</v>
      </c>
      <c r="H558" s="2">
        <v>36.0</v>
      </c>
      <c r="I558" t="inlineStr">
        <is>
          <t xml:space="preserve">100% хлопок</t>
        </is>
      </c>
      <c r="J558"/>
      <c r="K558" t="inlineStr">
        <is>
          <t xml:space="preserve">Бангладеш</t>
        </is>
      </c>
      <c r="L558" t="inlineStr">
        <is>
          <t xml:space="preserve">6204629000</t>
        </is>
      </c>
      <c r="M558" t="inlineStr">
        <is>
          <t xml:space="preserve">Декларация № ЕАЭС № BY/112 11.01. ТР017 122.01 08246, до 19.04.2028</t>
        </is>
      </c>
      <c r="N558" t="inlineStr">
        <is>
          <t xml:space="preserve">28 × 28 × 3</t>
        </is>
      </c>
      <c r="O558" t="inlineStr">
        <is>
          <t xml:space="preserve">0,35</t>
        </is>
      </c>
      <c r="P558" t="inlineStr">
        <is>
          <t xml:space="preserve">4816148126412</t>
        </is>
      </c>
      <c r="Q558" s="3" t="str">
        <f>HYPERLINK("https://modify.by/img/149425464/1.webp","фото")</f>
        <v>фото</v>
      </c>
      <c r="R558" s="3" t="str">
        <f>HYPERLINK("https://modify.by/catalog/shorty/149425464/?utm_source=price&amp;utm_medium=xlsx","открыть")</f>
        <v>открыть</v>
      </c>
    </row>
    <row r="559">
      <c r="A559" t="inlineStr">
        <is>
          <t xml:space="preserve">Женский</t>
        </is>
      </c>
      <c r="B559" t="inlineStr">
        <is>
          <t xml:space="preserve">Шорты</t>
        </is>
      </c>
      <c r="C559" t="inlineStr">
        <is>
          <t xml:space="preserve">Шорты джинсовые короткие</t>
        </is>
      </c>
      <c r="D559" t="inlineStr">
        <is>
          <t xml:space="preserve">BE32W03Голубой</t>
        </is>
      </c>
      <c r="E559" t="inlineStr">
        <is>
          <t xml:space="preserve">голубой</t>
        </is>
      </c>
      <c r="F559" t="inlineStr">
        <is>
          <t xml:space="preserve">44-46</t>
        </is>
      </c>
      <c r="G559">
        <v>1</v>
      </c>
      <c r="H559" s="2">
        <v>36.0</v>
      </c>
      <c r="I559" t="inlineStr">
        <is>
          <t xml:space="preserve">100% хлопок</t>
        </is>
      </c>
      <c r="J559"/>
      <c r="K559" t="inlineStr">
        <is>
          <t xml:space="preserve">Бангладеш</t>
        </is>
      </c>
      <c r="L559" t="inlineStr">
        <is>
          <t xml:space="preserve">6204629000</t>
        </is>
      </c>
      <c r="M559" t="inlineStr">
        <is>
          <t xml:space="preserve">Декларация № ЕАЭС № BY/112 11.01. ТР017 122.01 08246, до 19.04.2028</t>
        </is>
      </c>
      <c r="N559" t="inlineStr">
        <is>
          <t xml:space="preserve">28 × 28 × 3</t>
        </is>
      </c>
      <c r="O559" t="inlineStr">
        <is>
          <t xml:space="preserve">0,35</t>
        </is>
      </c>
      <c r="P559" t="inlineStr">
        <is>
          <t xml:space="preserve">2026620783114</t>
        </is>
      </c>
      <c r="Q559" s="3" t="str">
        <f>HYPERLINK("https://modify.by/img/149425464/1.webp","фото")</f>
        <v>фото</v>
      </c>
      <c r="R559" s="3" t="str">
        <f>HYPERLINK("https://modify.by/catalog/shorty/149425464/?utm_source=price&amp;utm_medium=xlsx","открыть")</f>
        <v>открыть</v>
      </c>
    </row>
    <row r="560">
      <c r="A560" t="inlineStr">
        <is>
          <t xml:space="preserve">Женский</t>
        </is>
      </c>
      <c r="B560" t="inlineStr">
        <is>
          <t xml:space="preserve">Шорты</t>
        </is>
      </c>
      <c r="C560" t="inlineStr">
        <is>
          <t xml:space="preserve">Шорты джинсовые короткие</t>
        </is>
      </c>
      <c r="D560" t="inlineStr">
        <is>
          <t xml:space="preserve">BE32W03Голубой</t>
        </is>
      </c>
      <c r="E560" t="inlineStr">
        <is>
          <t xml:space="preserve">голубой</t>
        </is>
      </c>
      <c r="F560" t="inlineStr">
        <is>
          <t xml:space="preserve">46-48</t>
        </is>
      </c>
      <c r="G560">
        <v>1</v>
      </c>
      <c r="H560" s="2">
        <v>36.0</v>
      </c>
      <c r="I560" t="inlineStr">
        <is>
          <t xml:space="preserve">100% хлопок</t>
        </is>
      </c>
      <c r="J560"/>
      <c r="K560" t="inlineStr">
        <is>
          <t xml:space="preserve">Бангладеш</t>
        </is>
      </c>
      <c r="L560" t="inlineStr">
        <is>
          <t xml:space="preserve">6204629000</t>
        </is>
      </c>
      <c r="M560" t="inlineStr">
        <is>
          <t xml:space="preserve">Декларация № ЕАЭС № BY/112 11.01. ТР017 122.01 08246, до 19.04.2028</t>
        </is>
      </c>
      <c r="N560" t="inlineStr">
        <is>
          <t xml:space="preserve">28 × 28 × 3</t>
        </is>
      </c>
      <c r="O560" t="inlineStr">
        <is>
          <t xml:space="preserve">0,35</t>
        </is>
      </c>
      <c r="P560" t="inlineStr">
        <is>
          <t xml:space="preserve">2026620783107</t>
        </is>
      </c>
      <c r="Q560" s="3" t="str">
        <f>HYPERLINK("https://modify.by/img/149425464/1.webp","фото")</f>
        <v>фото</v>
      </c>
      <c r="R560" s="3" t="str">
        <f>HYPERLINK("https://modify.by/catalog/shorty/149425464/?utm_source=price&amp;utm_medium=xlsx","открыть")</f>
        <v>открыть</v>
      </c>
    </row>
    <row r="561">
      <c r="A561" t="inlineStr">
        <is>
          <t xml:space="preserve">Женский</t>
        </is>
      </c>
      <c r="B561" t="inlineStr">
        <is>
          <t xml:space="preserve">Шорты</t>
        </is>
      </c>
      <c r="C561" t="inlineStr">
        <is>
          <t xml:space="preserve">Шорты джинсовые короткие</t>
        </is>
      </c>
      <c r="D561" t="inlineStr">
        <is>
          <t xml:space="preserve">BE32W03Голубой</t>
        </is>
      </c>
      <c r="E561" t="inlineStr">
        <is>
          <t xml:space="preserve">голубой</t>
        </is>
      </c>
      <c r="F561" t="inlineStr">
        <is>
          <t xml:space="preserve">48-50</t>
        </is>
      </c>
      <c r="G561">
        <v>1</v>
      </c>
      <c r="H561" s="2">
        <v>36.0</v>
      </c>
      <c r="I561" t="inlineStr">
        <is>
          <t xml:space="preserve">100% хлопок</t>
        </is>
      </c>
      <c r="J561"/>
      <c r="K561" t="inlineStr">
        <is>
          <t xml:space="preserve">Бангладеш</t>
        </is>
      </c>
      <c r="L561" t="inlineStr">
        <is>
          <t xml:space="preserve">6204629000</t>
        </is>
      </c>
      <c r="M561" t="inlineStr">
        <is>
          <t xml:space="preserve">Декларация № ЕАЭС № BY/112 11.01. ТР017 122.01 08246, до 19.04.2028</t>
        </is>
      </c>
      <c r="N561" t="inlineStr">
        <is>
          <t xml:space="preserve">28 × 28 × 3</t>
        </is>
      </c>
      <c r="O561" t="inlineStr">
        <is>
          <t xml:space="preserve">0,35</t>
        </is>
      </c>
      <c r="P561" t="inlineStr">
        <is>
          <t xml:space="preserve">2026620783091</t>
        </is>
      </c>
      <c r="Q561" s="3" t="str">
        <f>HYPERLINK("https://modify.by/img/149425464/1.webp","фото")</f>
        <v>фото</v>
      </c>
      <c r="R561" s="3" t="str">
        <f>HYPERLINK("https://modify.by/catalog/shorty/149425464/?utm_source=price&amp;utm_medium=xlsx","открыть")</f>
        <v>открыть</v>
      </c>
    </row>
    <row r="562">
      <c r="A562" t="inlineStr">
        <is>
          <t xml:space="preserve">Женский</t>
        </is>
      </c>
      <c r="B562" t="inlineStr">
        <is>
          <t xml:space="preserve">Шорты</t>
        </is>
      </c>
      <c r="C562" t="inlineStr">
        <is>
          <t xml:space="preserve">Шорты джинсовые короткие</t>
        </is>
      </c>
      <c r="D562" t="inlineStr">
        <is>
          <t xml:space="preserve">BE32W03Голубой</t>
        </is>
      </c>
      <c r="E562" t="inlineStr">
        <is>
          <t xml:space="preserve">голубой</t>
        </is>
      </c>
      <c r="F562" t="inlineStr">
        <is>
          <t xml:space="preserve">52-54</t>
        </is>
      </c>
      <c r="G562">
        <v>1</v>
      </c>
      <c r="H562" s="2">
        <v>36.0</v>
      </c>
      <c r="I562" t="inlineStr">
        <is>
          <t xml:space="preserve">100% хлопок</t>
        </is>
      </c>
      <c r="J562"/>
      <c r="K562" t="inlineStr">
        <is>
          <t xml:space="preserve">Бангладеш</t>
        </is>
      </c>
      <c r="L562" t="inlineStr">
        <is>
          <t xml:space="preserve">6204629000</t>
        </is>
      </c>
      <c r="M562" t="inlineStr">
        <is>
          <t xml:space="preserve">Декларация № ЕАЭС № BY/112 11.01. ТР017 122.01 08246, до 19.04.2028</t>
        </is>
      </c>
      <c r="N562" t="inlineStr">
        <is>
          <t xml:space="preserve">28 × 28 × 3</t>
        </is>
      </c>
      <c r="O562" t="inlineStr">
        <is>
          <t xml:space="preserve">0,35</t>
        </is>
      </c>
      <c r="P562" t="inlineStr">
        <is>
          <t xml:space="preserve">2026620783077</t>
        </is>
      </c>
      <c r="Q562" s="3" t="str">
        <f>HYPERLINK("https://modify.by/img/149425464/1.webp","фото")</f>
        <v>фото</v>
      </c>
      <c r="R562" s="3" t="str">
        <f>HYPERLINK("https://modify.by/catalog/shorty/149425464/?utm_source=price&amp;utm_medium=xlsx","открыть")</f>
        <v>открыть</v>
      </c>
    </row>
    <row r="563">
      <c r="A563" t="inlineStr">
        <is>
          <t xml:space="preserve">Женский</t>
        </is>
      </c>
      <c r="B563" t="inlineStr">
        <is>
          <t xml:space="preserve">Шорты</t>
        </is>
      </c>
      <c r="C563" t="inlineStr">
        <is>
          <t xml:space="preserve">Шорты летние больших размеров, бежевый</t>
        </is>
      </c>
      <c r="D563" t="inlineStr">
        <is>
          <t xml:space="preserve">BE32W06бежевый</t>
        </is>
      </c>
      <c r="E563" t="inlineStr">
        <is>
          <t xml:space="preserve">бежевый</t>
        </is>
      </c>
      <c r="F563" t="inlineStr">
        <is>
          <t xml:space="preserve">46</t>
        </is>
      </c>
      <c r="G563">
        <v>1</v>
      </c>
      <c r="H563" s="2">
        <v>26.0</v>
      </c>
      <c r="I563" t="inlineStr">
        <is>
          <t xml:space="preserve">98% хлопок, 2% эластан</t>
        </is>
      </c>
      <c r="J563"/>
      <c r="K563" t="inlineStr">
        <is>
          <t xml:space="preserve">Бангладеш</t>
        </is>
      </c>
      <c r="L563" t="inlineStr">
        <is>
          <t xml:space="preserve">6204629000</t>
        </is>
      </c>
      <c r="M563" t="inlineStr">
        <is>
          <t xml:space="preserve">по запросу</t>
        </is>
      </c>
      <c r="N563" t="inlineStr">
        <is>
          <t xml:space="preserve">35 × 30 × 2</t>
        </is>
      </c>
      <c r="O563" t="inlineStr">
        <is>
          <t xml:space="preserve">0,35</t>
        </is>
      </c>
      <c r="P563" t="inlineStr">
        <is>
          <t xml:space="preserve">2038096192529</t>
        </is>
      </c>
      <c r="Q563" s="3" t="str">
        <f>HYPERLINK("https://modify.by/img/210859975/1.webp","фото")</f>
        <v>фото</v>
      </c>
      <c r="R563" s="3" t="str">
        <f>HYPERLINK("https://modify.by/catalog/shorty/210859975/?utm_source=price&amp;utm_medium=xlsx","открыть")</f>
        <v>открыть</v>
      </c>
    </row>
    <row r="564">
      <c r="A564" t="inlineStr">
        <is>
          <t xml:space="preserve">Женский</t>
        </is>
      </c>
      <c r="B564" t="inlineStr">
        <is>
          <t xml:space="preserve">Шорты</t>
        </is>
      </c>
      <c r="C564" t="inlineStr">
        <is>
          <t xml:space="preserve">Шорты летние больших размеров, оранжевый</t>
        </is>
      </c>
      <c r="D564" t="inlineStr">
        <is>
          <t xml:space="preserve">BE32W06оранжевый</t>
        </is>
      </c>
      <c r="E564" t="inlineStr">
        <is>
          <t xml:space="preserve">оранжевый</t>
        </is>
      </c>
      <c r="F564" t="inlineStr">
        <is>
          <t xml:space="preserve">50</t>
        </is>
      </c>
      <c r="G564">
        <v>1</v>
      </c>
      <c r="H564" s="2">
        <v>26.0</v>
      </c>
      <c r="I564" t="inlineStr">
        <is>
          <t xml:space="preserve">98% хлопок, 2% эластан</t>
        </is>
      </c>
      <c r="J564"/>
      <c r="K564" t="inlineStr">
        <is>
          <t xml:space="preserve">Бангладеш</t>
        </is>
      </c>
      <c r="L564" t="inlineStr">
        <is>
          <t xml:space="preserve">6204629000</t>
        </is>
      </c>
      <c r="M564" t="inlineStr">
        <is>
          <t xml:space="preserve">по запросу</t>
        </is>
      </c>
      <c r="N564" t="inlineStr">
        <is>
          <t xml:space="preserve">35 × 30 × 2</t>
        </is>
      </c>
      <c r="O564" t="inlineStr">
        <is>
          <t xml:space="preserve">0,35</t>
        </is>
      </c>
      <c r="P564" t="inlineStr">
        <is>
          <t xml:space="preserve">2038096192420</t>
        </is>
      </c>
      <c r="Q564" s="3" t="str">
        <f>HYPERLINK("https://modify.by/img/210859998/1.webp","фото")</f>
        <v>фото</v>
      </c>
      <c r="R564" s="3" t="str">
        <f>HYPERLINK("https://modify.by/catalog/shorty/210859998/?utm_source=price&amp;utm_medium=xlsx","открыть")</f>
        <v>открыть</v>
      </c>
    </row>
    <row r="565">
      <c r="A565" t="inlineStr">
        <is>
          <t xml:space="preserve">Женский</t>
        </is>
      </c>
      <c r="B565" t="inlineStr">
        <is>
          <t xml:space="preserve">Шорты</t>
        </is>
      </c>
      <c r="C565" t="inlineStr">
        <is>
          <t xml:space="preserve">Шорты летние больших размеров, черный</t>
        </is>
      </c>
      <c r="D565" t="inlineStr">
        <is>
          <t xml:space="preserve">BE32W07черный</t>
        </is>
      </c>
      <c r="E565" t="inlineStr">
        <is>
          <t xml:space="preserve">черный</t>
        </is>
      </c>
      <c r="F565" t="inlineStr">
        <is>
          <t xml:space="preserve">62</t>
        </is>
      </c>
      <c r="G565">
        <v>1</v>
      </c>
      <c r="H565" s="2">
        <v>29.0</v>
      </c>
      <c r="I565" t="inlineStr">
        <is>
          <t xml:space="preserve">Хлопок 98% эластан 2%</t>
        </is>
      </c>
      <c r="J565"/>
      <c r="K565" t="inlineStr">
        <is>
          <t xml:space="preserve">Бангладеш</t>
        </is>
      </c>
      <c r="L565" t="inlineStr">
        <is>
          <t xml:space="preserve">6204629000</t>
        </is>
      </c>
      <c r="M565" t="inlineStr">
        <is>
          <t xml:space="preserve">по запросу</t>
        </is>
      </c>
      <c r="N565" t="inlineStr">
        <is>
          <t xml:space="preserve">30 × 35 × 2</t>
        </is>
      </c>
      <c r="O565" t="inlineStr">
        <is>
          <t xml:space="preserve">0,35</t>
        </is>
      </c>
      <c r="P565" t="inlineStr">
        <is>
          <t xml:space="preserve">2038096199993</t>
        </is>
      </c>
      <c r="Q565" s="3" t="str">
        <f>HYPERLINK("https://modify.by/img/212299689/1.webp","фото")</f>
        <v>фото</v>
      </c>
      <c r="R565" s="3" t="str">
        <f>HYPERLINK("https://modify.by/catalog/shorty/212299689/?utm_source=price&amp;utm_medium=xlsx","открыть")</f>
        <v>открыть</v>
      </c>
    </row>
    <row r="566">
      <c r="A566" t="inlineStr">
        <is>
          <t xml:space="preserve">Женский</t>
        </is>
      </c>
      <c r="B566" t="inlineStr">
        <is>
          <t xml:space="preserve">Шорты</t>
        </is>
      </c>
      <c r="C566" t="inlineStr">
        <is>
          <t xml:space="preserve">Шорты летние длинные, графит</t>
        </is>
      </c>
      <c r="D566" t="inlineStr">
        <is>
          <t xml:space="preserve">BE42W01серый</t>
        </is>
      </c>
      <c r="E566" t="inlineStr">
        <is>
          <t xml:space="preserve">графит, темно-серый, серо-синий, серый</t>
        </is>
      </c>
      <c r="F566" t="inlineStr">
        <is>
          <t xml:space="preserve">52</t>
        </is>
      </c>
      <c r="G566">
        <v>1</v>
      </c>
      <c r="H566" s="2">
        <v>25.0</v>
      </c>
      <c r="I566" t="inlineStr">
        <is>
          <t xml:space="preserve">хлопок 100%</t>
        </is>
      </c>
      <c r="J566"/>
      <c r="K566" t="inlineStr">
        <is>
          <t xml:space="preserve">Бангладеш</t>
        </is>
      </c>
      <c r="L566" t="inlineStr">
        <is>
          <t xml:space="preserve">6204629000</t>
        </is>
      </c>
      <c r="M566" t="inlineStr">
        <is>
          <t xml:space="preserve">Декларация № ЕАЭС № BY/112 11.01. ТР017 122.01 08246, до 19.04.2028</t>
        </is>
      </c>
      <c r="N566" t="inlineStr">
        <is>
          <t xml:space="preserve">38 × 27 × 2</t>
        </is>
      </c>
      <c r="O566" t="inlineStr">
        <is>
          <t xml:space="preserve">0,35</t>
        </is>
      </c>
      <c r="P566" t="inlineStr">
        <is>
          <t xml:space="preserve">4816148103437</t>
        </is>
      </c>
      <c r="Q566" s="3" t="str">
        <f>HYPERLINK("https://modify.by/img/234690490/1.webp","фото")</f>
        <v>фото</v>
      </c>
      <c r="R566" s="3" t="str">
        <f>HYPERLINK("https://modify.by/catalog/shorty/234690490/?utm_source=price&amp;utm_medium=xlsx","открыть")</f>
        <v>открыть</v>
      </c>
    </row>
    <row r="567">
      <c r="A567" t="inlineStr">
        <is>
          <t xml:space="preserve">Женский</t>
        </is>
      </c>
      <c r="B567" t="inlineStr">
        <is>
          <t xml:space="preserve">Шорты</t>
        </is>
      </c>
      <c r="C567" t="inlineStr">
        <is>
          <t xml:space="preserve">Шорты летние длинные, красный</t>
        </is>
      </c>
      <c r="D567" t="inlineStr">
        <is>
          <t xml:space="preserve">BE42W01красный</t>
        </is>
      </c>
      <c r="E567" t="inlineStr">
        <is>
          <t xml:space="preserve">красный</t>
        </is>
      </c>
      <c r="F567" t="inlineStr">
        <is>
          <t xml:space="preserve">46</t>
        </is>
      </c>
      <c r="G567">
        <v>1</v>
      </c>
      <c r="H567" s="2">
        <v>25.0</v>
      </c>
      <c r="I567" t="inlineStr">
        <is>
          <t xml:space="preserve">хлопок 100%</t>
        </is>
      </c>
      <c r="J567"/>
      <c r="K567" t="inlineStr">
        <is>
          <t xml:space="preserve">Бангладеш</t>
        </is>
      </c>
      <c r="L567" t="inlineStr">
        <is>
          <t xml:space="preserve">6204629000</t>
        </is>
      </c>
      <c r="M567" t="inlineStr">
        <is>
          <t xml:space="preserve">Декларация № ЕАЭС № BY/112 11.01. ТР017 122.01 08246, до 19.04.2028</t>
        </is>
      </c>
      <c r="N567" t="inlineStr">
        <is>
          <t xml:space="preserve">38 × 27 × 2</t>
        </is>
      </c>
      <c r="O567" t="inlineStr">
        <is>
          <t xml:space="preserve">0,35</t>
        </is>
      </c>
      <c r="P567" t="inlineStr">
        <is>
          <t xml:space="preserve">4816148103024</t>
        </is>
      </c>
      <c r="Q567" s="3" t="str">
        <f>HYPERLINK("https://modify.by/img/234690484/1.webp","фото")</f>
        <v>фото</v>
      </c>
      <c r="R567" s="3" t="str">
        <f>HYPERLINK("https://modify.by/catalog/shorty/234690484/?utm_source=price&amp;utm_medium=xlsx","открыть")</f>
        <v>открыть</v>
      </c>
    </row>
    <row r="568">
      <c r="A568" t="inlineStr">
        <is>
          <t xml:space="preserve">Женский</t>
        </is>
      </c>
      <c r="B568" t="inlineStr">
        <is>
          <t xml:space="preserve">Шорты</t>
        </is>
      </c>
      <c r="C568" t="inlineStr">
        <is>
          <t xml:space="preserve">Шорты летние длинные, пыльная роза</t>
        </is>
      </c>
      <c r="D568" t="inlineStr">
        <is>
          <t xml:space="preserve">BE42W01пыльная роза</t>
        </is>
      </c>
      <c r="E568" t="inlineStr">
        <is>
          <t xml:space="preserve">пыльная роза</t>
        </is>
      </c>
      <c r="F568" t="inlineStr">
        <is>
          <t xml:space="preserve">42</t>
        </is>
      </c>
      <c r="G568">
        <v>15</v>
      </c>
      <c r="H568" s="2">
        <v>25.0</v>
      </c>
      <c r="I568" t="inlineStr">
        <is>
          <t xml:space="preserve">хлопок 100%</t>
        </is>
      </c>
      <c r="J568" t="inlineStr">
        <is>
          <t xml:space="preserve">Лето</t>
        </is>
      </c>
      <c r="K568" t="inlineStr">
        <is>
          <t xml:space="preserve">Бангладеш</t>
        </is>
      </c>
      <c r="L568" t="inlineStr">
        <is>
          <t xml:space="preserve">6204629000</t>
        </is>
      </c>
      <c r="M568" t="inlineStr">
        <is>
          <t xml:space="preserve">Декларация № ЕАЭС № BY/112 11.01. ТР017 122.01 08246, до 19.04.2028</t>
        </is>
      </c>
      <c r="N568" t="inlineStr">
        <is>
          <t xml:space="preserve">38 × 27 × 2</t>
        </is>
      </c>
      <c r="O568" t="inlineStr">
        <is>
          <t xml:space="preserve">0,35</t>
        </is>
      </c>
      <c r="P568" t="inlineStr">
        <is>
          <t xml:space="preserve">4816148102911</t>
        </is>
      </c>
      <c r="Q568" s="3" t="str">
        <f>HYPERLINK("https://modify.by/img/234690483/1.webp","фото")</f>
        <v>фото</v>
      </c>
      <c r="R568" s="3" t="str">
        <f>HYPERLINK("https://modify.by/catalog/shorty/234690483/?utm_source=price&amp;utm_medium=xlsx","открыть")</f>
        <v>открыть</v>
      </c>
    </row>
    <row r="569">
      <c r="A569" t="inlineStr">
        <is>
          <t xml:space="preserve">Женский</t>
        </is>
      </c>
      <c r="B569" t="inlineStr">
        <is>
          <t xml:space="preserve">Шорты</t>
        </is>
      </c>
      <c r="C569" t="inlineStr">
        <is>
          <t xml:space="preserve">Шорты летние хлопковые бермуды карго</t>
        </is>
      </c>
      <c r="D569" t="inlineStr">
        <is>
          <t xml:space="preserve">BE62W01_зеленый</t>
        </is>
      </c>
      <c r="E569" t="inlineStr">
        <is>
          <t xml:space="preserve">травяной зеленый</t>
        </is>
      </c>
      <c r="F569" t="inlineStr">
        <is>
          <t xml:space="preserve">42</t>
        </is>
      </c>
      <c r="G569">
        <v>7</v>
      </c>
      <c r="H569" s="2">
        <v>25.0</v>
      </c>
      <c r="I569" t="inlineStr">
        <is>
          <t xml:space="preserve">100% хлопок</t>
        </is>
      </c>
      <c r="J569" t="inlineStr">
        <is>
          <t xml:space="preserve">Лето</t>
        </is>
      </c>
      <c r="K569" t="inlineStr">
        <is>
          <t xml:space="preserve">Бангладеш</t>
        </is>
      </c>
      <c r="L569" t="inlineStr">
        <is>
          <t xml:space="preserve">6204629000</t>
        </is>
      </c>
      <c r="M569" t="inlineStr">
        <is>
          <t xml:space="preserve">Декларация № ЕАЭС № BY/112 11.01. ТР017 122.01 08246, до 19.04.2028</t>
        </is>
      </c>
      <c r="N569" t="inlineStr">
        <is>
          <t xml:space="preserve">19 × 15 × 7</t>
        </is>
      </c>
      <c r="O569" t="inlineStr">
        <is>
          <t xml:space="preserve">0,35</t>
        </is>
      </c>
      <c r="P569" t="inlineStr">
        <is>
          <t xml:space="preserve">4816148183309</t>
        </is>
      </c>
      <c r="Q569" s="3" t="str">
        <f>HYPERLINK("https://modify.by/img/1056170569/1.webp","фото")</f>
        <v>фото</v>
      </c>
      <c r="R569" s="3" t="str">
        <f>HYPERLINK("https://modify.by/catalog/shorty/1056170569/?utm_source=price&amp;utm_medium=xlsx","открыть")</f>
        <v>открыть</v>
      </c>
    </row>
    <row r="570">
      <c r="A570" t="inlineStr">
        <is>
          <t xml:space="preserve">Женский</t>
        </is>
      </c>
      <c r="B570" t="inlineStr">
        <is>
          <t xml:space="preserve">Шорты</t>
        </is>
      </c>
      <c r="C570" t="inlineStr">
        <is>
          <t xml:space="preserve">Шорты летние хлопковые бермуды карго</t>
        </is>
      </c>
      <c r="D570" t="inlineStr">
        <is>
          <t xml:space="preserve">BE62W01_зеленый</t>
        </is>
      </c>
      <c r="E570" t="inlineStr">
        <is>
          <t xml:space="preserve">травяной зеленый</t>
        </is>
      </c>
      <c r="F570" t="inlineStr">
        <is>
          <t xml:space="preserve">44</t>
        </is>
      </c>
      <c r="G570">
        <v>43</v>
      </c>
      <c r="H570" s="2">
        <v>25.0</v>
      </c>
      <c r="I570" t="inlineStr">
        <is>
          <t xml:space="preserve">100% хлопок</t>
        </is>
      </c>
      <c r="J570" t="inlineStr">
        <is>
          <t xml:space="preserve">Лето</t>
        </is>
      </c>
      <c r="K570" t="inlineStr">
        <is>
          <t xml:space="preserve">Бангладеш</t>
        </is>
      </c>
      <c r="L570" t="inlineStr">
        <is>
          <t xml:space="preserve">6204629000</t>
        </is>
      </c>
      <c r="M570" t="inlineStr">
        <is>
          <t xml:space="preserve">Декларация № ЕАЭС № BY/112 11.01. ТР017 122.01 08246, до 19.04.2028</t>
        </is>
      </c>
      <c r="N570" t="inlineStr">
        <is>
          <t xml:space="preserve">19 × 15 × 7</t>
        </is>
      </c>
      <c r="O570" t="inlineStr">
        <is>
          <t xml:space="preserve">0,35</t>
        </is>
      </c>
      <c r="P570" t="inlineStr">
        <is>
          <t xml:space="preserve">4816148183316</t>
        </is>
      </c>
      <c r="Q570" s="3" t="str">
        <f>HYPERLINK("https://modify.by/img/1056170569/1.webp","фото")</f>
        <v>фото</v>
      </c>
      <c r="R570" s="3" t="str">
        <f>HYPERLINK("https://modify.by/catalog/shorty/1056170569/?utm_source=price&amp;utm_medium=xlsx","открыть")</f>
        <v>открыть</v>
      </c>
    </row>
    <row r="571">
      <c r="A571" t="inlineStr">
        <is>
          <t xml:space="preserve">Женский</t>
        </is>
      </c>
      <c r="B571" t="inlineStr">
        <is>
          <t xml:space="preserve">Шорты</t>
        </is>
      </c>
      <c r="C571" t="inlineStr">
        <is>
          <t xml:space="preserve">Шорты офисные длинные</t>
        </is>
      </c>
      <c r="D571" t="inlineStr">
        <is>
          <t xml:space="preserve">T3BE42W01бежевый</t>
        </is>
      </c>
      <c r="E571" t="inlineStr">
        <is>
          <t xml:space="preserve">бежевый</t>
        </is>
      </c>
      <c r="F571" t="inlineStr">
        <is>
          <t xml:space="preserve">46</t>
        </is>
      </c>
      <c r="G571">
        <v>1</v>
      </c>
      <c r="H571" s="2">
        <v>38.0</v>
      </c>
      <c r="I571" t="inlineStr">
        <is>
          <t xml:space="preserve">полиэстер 100%</t>
        </is>
      </c>
      <c r="J571"/>
      <c r="K571" t="inlineStr">
        <is>
          <t xml:space="preserve">Китай</t>
        </is>
      </c>
      <c r="L571" t="inlineStr">
        <is>
          <t xml:space="preserve">6204639000</t>
        </is>
      </c>
      <c r="M571" t="inlineStr">
        <is>
          <t xml:space="preserve">Декларация № ЕАЭС N RU Д-CN.РА02.В.44039/24, до 28.02.2029</t>
        </is>
      </c>
      <c r="N571" t="inlineStr">
        <is>
          <t xml:space="preserve">27 × 22 × 2</t>
        </is>
      </c>
      <c r="O571" t="inlineStr">
        <is>
          <t xml:space="preserve">0,28</t>
        </is>
      </c>
      <c r="P571" t="inlineStr">
        <is>
          <t xml:space="preserve">4816148106957</t>
        </is>
      </c>
      <c r="Q571" s="3" t="str">
        <f>HYPERLINK("https://modify.by/img/239174517/1.webp","фото")</f>
        <v>фото</v>
      </c>
      <c r="R571" s="3" t="str">
        <f>HYPERLINK("https://modify.by/catalog/shorty/239174517/?utm_source=price&amp;utm_medium=xlsx","открыть")</f>
        <v>открыть</v>
      </c>
    </row>
    <row r="572">
      <c r="A572" t="inlineStr">
        <is>
          <t xml:space="preserve">Женский</t>
        </is>
      </c>
      <c r="B572" t="inlineStr">
        <is>
          <t xml:space="preserve">Шорты</t>
        </is>
      </c>
      <c r="C572" t="inlineStr">
        <is>
          <t xml:space="preserve">Шорты широкие школьные, молочный</t>
        </is>
      </c>
      <c r="D572" t="inlineStr">
        <is>
          <t xml:space="preserve">T3BE42W02молочный</t>
        </is>
      </c>
      <c r="E572" t="inlineStr">
        <is>
          <t xml:space="preserve">молочный</t>
        </is>
      </c>
      <c r="F572" t="inlineStr">
        <is>
          <t xml:space="preserve">42</t>
        </is>
      </c>
      <c r="G572">
        <v>4</v>
      </c>
      <c r="H572" s="2">
        <v>37.0</v>
      </c>
      <c r="I572" t="inlineStr">
        <is>
          <t xml:space="preserve">полиэстер</t>
        </is>
      </c>
      <c r="J572"/>
      <c r="K572" t="inlineStr">
        <is>
          <t xml:space="preserve">Китай</t>
        </is>
      </c>
      <c r="L572" t="inlineStr">
        <is>
          <t xml:space="preserve">6204639000</t>
        </is>
      </c>
      <c r="M572" t="inlineStr">
        <is>
          <t xml:space="preserve">Декларация № ЕАЭС N RU Д-CN.РА02.В.44039/24, до 28.02.2029</t>
        </is>
      </c>
      <c r="N572" t="inlineStr">
        <is>
          <t xml:space="preserve">28 × 21 × 2</t>
        </is>
      </c>
      <c r="O572" t="inlineStr">
        <is>
          <t xml:space="preserve">0,3</t>
        </is>
      </c>
      <c r="P572" t="inlineStr">
        <is>
          <t xml:space="preserve">4816148107954</t>
        </is>
      </c>
      <c r="Q572" s="3" t="str">
        <f>HYPERLINK("https://modify.by/img/243463595/1.webp","фото")</f>
        <v>фото</v>
      </c>
      <c r="R572" s="3" t="str">
        <f>HYPERLINK("https://modify.by/catalog/shorty/243463595/?utm_source=price&amp;utm_medium=xlsx","открыть")</f>
        <v>открыть</v>
      </c>
    </row>
    <row r="573">
      <c r="A573" t="inlineStr">
        <is>
          <t xml:space="preserve">Женский</t>
        </is>
      </c>
      <c r="B573" t="inlineStr">
        <is>
          <t xml:space="preserve">Шорты</t>
        </is>
      </c>
      <c r="C573" t="inlineStr">
        <is>
          <t xml:space="preserve">Шорты широкие школьные, молочный</t>
        </is>
      </c>
      <c r="D573" t="inlineStr">
        <is>
          <t xml:space="preserve">T3BE42W02молочный</t>
        </is>
      </c>
      <c r="E573" t="inlineStr">
        <is>
          <t xml:space="preserve">молочный</t>
        </is>
      </c>
      <c r="F573" t="inlineStr">
        <is>
          <t xml:space="preserve">44</t>
        </is>
      </c>
      <c r="G573">
        <v>4</v>
      </c>
      <c r="H573" s="2">
        <v>37.0</v>
      </c>
      <c r="I573" t="inlineStr">
        <is>
          <t xml:space="preserve">полиэстер</t>
        </is>
      </c>
      <c r="J573"/>
      <c r="K573" t="inlineStr">
        <is>
          <t xml:space="preserve">Китай</t>
        </is>
      </c>
      <c r="L573" t="inlineStr">
        <is>
          <t xml:space="preserve">6204639000</t>
        </is>
      </c>
      <c r="M573" t="inlineStr">
        <is>
          <t xml:space="preserve">Декларация № ЕАЭС N RU Д-CN.РА02.В.44039/24, до 28.02.2029</t>
        </is>
      </c>
      <c r="N573" t="inlineStr">
        <is>
          <t xml:space="preserve">28 × 21 × 2</t>
        </is>
      </c>
      <c r="O573" t="inlineStr">
        <is>
          <t xml:space="preserve">0,3</t>
        </is>
      </c>
      <c r="P573" t="inlineStr">
        <is>
          <t xml:space="preserve">4816148107961</t>
        </is>
      </c>
      <c r="Q573" s="3" t="str">
        <f>HYPERLINK("https://modify.by/img/243463595/1.webp","фото")</f>
        <v>фото</v>
      </c>
      <c r="R573" s="3" t="str">
        <f>HYPERLINK("https://modify.by/catalog/shorty/243463595/?utm_source=price&amp;utm_medium=xlsx","открыть")</f>
        <v>открыть</v>
      </c>
    </row>
    <row r="574">
      <c r="A574" t="inlineStr">
        <is>
          <t xml:space="preserve">Женский</t>
        </is>
      </c>
      <c r="B574" t="inlineStr">
        <is>
          <t xml:space="preserve">Шорты</t>
        </is>
      </c>
      <c r="C574" t="inlineStr">
        <is>
          <t xml:space="preserve">Шорты широкие школьные, молочный</t>
        </is>
      </c>
      <c r="D574" t="inlineStr">
        <is>
          <t xml:space="preserve">T3BE42W02молочный</t>
        </is>
      </c>
      <c r="E574" t="inlineStr">
        <is>
          <t xml:space="preserve">молочный</t>
        </is>
      </c>
      <c r="F574" t="inlineStr">
        <is>
          <t xml:space="preserve">46</t>
        </is>
      </c>
      <c r="G574">
        <v>5</v>
      </c>
      <c r="H574" s="2">
        <v>37.0</v>
      </c>
      <c r="I574" t="inlineStr">
        <is>
          <t xml:space="preserve">полиэстер</t>
        </is>
      </c>
      <c r="J574"/>
      <c r="K574" t="inlineStr">
        <is>
          <t xml:space="preserve">Китай</t>
        </is>
      </c>
      <c r="L574" t="inlineStr">
        <is>
          <t xml:space="preserve">6204639000</t>
        </is>
      </c>
      <c r="M574" t="inlineStr">
        <is>
          <t xml:space="preserve">Декларация № ЕАЭС N RU Д-CN.РА02.В.44039/24, до 28.02.2029</t>
        </is>
      </c>
      <c r="N574" t="inlineStr">
        <is>
          <t xml:space="preserve">28 × 21 × 2</t>
        </is>
      </c>
      <c r="O574" t="inlineStr">
        <is>
          <t xml:space="preserve">0,3</t>
        </is>
      </c>
      <c r="P574" t="inlineStr">
        <is>
          <t xml:space="preserve">4816148107978</t>
        </is>
      </c>
      <c r="Q574" s="3" t="str">
        <f>HYPERLINK("https://modify.by/img/243463595/1.webp","фото")</f>
        <v>фото</v>
      </c>
      <c r="R574" s="3" t="str">
        <f>HYPERLINK("https://modify.by/catalog/shorty/243463595/?utm_source=price&amp;utm_medium=xlsx","открыть")</f>
        <v>открыть</v>
      </c>
    </row>
    <row r="575">
      <c r="A575" t="inlineStr">
        <is>
          <t xml:space="preserve">Женский</t>
        </is>
      </c>
      <c r="B575" t="inlineStr">
        <is>
          <t xml:space="preserve">Шорты</t>
        </is>
      </c>
      <c r="C575" t="inlineStr">
        <is>
          <t xml:space="preserve">Шорты широкие школьные, черный</t>
        </is>
      </c>
      <c r="D575" t="inlineStr">
        <is>
          <t xml:space="preserve">T3BE42W02черный</t>
        </is>
      </c>
      <c r="E575" t="inlineStr">
        <is>
          <t xml:space="preserve">черный</t>
        </is>
      </c>
      <c r="F575" t="inlineStr">
        <is>
          <t xml:space="preserve">42</t>
        </is>
      </c>
      <c r="G575">
        <v>8</v>
      </c>
      <c r="H575" s="2">
        <v>37.0</v>
      </c>
      <c r="I575" t="inlineStr">
        <is>
          <t xml:space="preserve">полиэстер</t>
        </is>
      </c>
      <c r="J575"/>
      <c r="K575" t="inlineStr">
        <is>
          <t xml:space="preserve">Китай</t>
        </is>
      </c>
      <c r="L575" t="inlineStr">
        <is>
          <t xml:space="preserve">6204639000</t>
        </is>
      </c>
      <c r="M575" t="inlineStr">
        <is>
          <t xml:space="preserve">Декларация № ЕАЭС N RU Д-CN.РА02.В.44039/24, до 28.02.2029</t>
        </is>
      </c>
      <c r="N575" t="inlineStr">
        <is>
          <t xml:space="preserve">28 × 21 × 2</t>
        </is>
      </c>
      <c r="O575" t="inlineStr">
        <is>
          <t xml:space="preserve">0,3</t>
        </is>
      </c>
      <c r="P575" t="inlineStr">
        <is>
          <t xml:space="preserve">4816148107831</t>
        </is>
      </c>
      <c r="Q575" s="3" t="str">
        <f>HYPERLINK("https://modify.by/img/243463598/1.webp","фото")</f>
        <v>фото</v>
      </c>
      <c r="R575" s="3" t="str">
        <f>HYPERLINK("https://modify.by/catalog/shorty/243463598/?utm_source=price&amp;utm_medium=xlsx","открыть")</f>
        <v>открыть</v>
      </c>
    </row>
    <row r="576">
      <c r="A576" t="inlineStr">
        <is>
          <t xml:space="preserve">Женский</t>
        </is>
      </c>
      <c r="B576" t="inlineStr">
        <is>
          <t xml:space="preserve">Шорты</t>
        </is>
      </c>
      <c r="C576" t="inlineStr">
        <is>
          <t xml:space="preserve">Шорты широкие школьные, черный</t>
        </is>
      </c>
      <c r="D576" t="inlineStr">
        <is>
          <t xml:space="preserve">T3BE42W02черный</t>
        </is>
      </c>
      <c r="E576" t="inlineStr">
        <is>
          <t xml:space="preserve">черный</t>
        </is>
      </c>
      <c r="F576" t="inlineStr">
        <is>
          <t xml:space="preserve">44</t>
        </is>
      </c>
      <c r="G576">
        <v>6</v>
      </c>
      <c r="H576" s="2">
        <v>37.0</v>
      </c>
      <c r="I576" t="inlineStr">
        <is>
          <t xml:space="preserve">полиэстер</t>
        </is>
      </c>
      <c r="J576"/>
      <c r="K576" t="inlineStr">
        <is>
          <t xml:space="preserve">Китай</t>
        </is>
      </c>
      <c r="L576" t="inlineStr">
        <is>
          <t xml:space="preserve">6204639000</t>
        </is>
      </c>
      <c r="M576" t="inlineStr">
        <is>
          <t xml:space="preserve">Декларация № ЕАЭС N RU Д-CN.РА02.В.44039/24, до 28.02.2029</t>
        </is>
      </c>
      <c r="N576" t="inlineStr">
        <is>
          <t xml:space="preserve">28 × 21 × 2</t>
        </is>
      </c>
      <c r="O576" t="inlineStr">
        <is>
          <t xml:space="preserve">0,3</t>
        </is>
      </c>
      <c r="P576" t="inlineStr">
        <is>
          <t xml:space="preserve">4816148107848</t>
        </is>
      </c>
      <c r="Q576" s="3" t="str">
        <f>HYPERLINK("https://modify.by/img/243463598/1.webp","фото")</f>
        <v>фото</v>
      </c>
      <c r="R576" s="3" t="str">
        <f>HYPERLINK("https://modify.by/catalog/shorty/243463598/?utm_source=price&amp;utm_medium=xlsx","открыть")</f>
        <v>открыть</v>
      </c>
    </row>
    <row r="577">
      <c r="A577" t="inlineStr">
        <is>
          <t xml:space="preserve">Женский</t>
        </is>
      </c>
      <c r="B577" t="inlineStr">
        <is>
          <t xml:space="preserve">Шорты</t>
        </is>
      </c>
      <c r="C577" t="inlineStr">
        <is>
          <t xml:space="preserve">Шорты широкие школьные, черный</t>
        </is>
      </c>
      <c r="D577" t="inlineStr">
        <is>
          <t xml:space="preserve">T3BE42W02черный</t>
        </is>
      </c>
      <c r="E577" t="inlineStr">
        <is>
          <t xml:space="preserve">черный</t>
        </is>
      </c>
      <c r="F577" t="inlineStr">
        <is>
          <t xml:space="preserve">46</t>
        </is>
      </c>
      <c r="G577">
        <v>10</v>
      </c>
      <c r="H577" s="2">
        <v>37.0</v>
      </c>
      <c r="I577" t="inlineStr">
        <is>
          <t xml:space="preserve">полиэстер</t>
        </is>
      </c>
      <c r="J577"/>
      <c r="K577" t="inlineStr">
        <is>
          <t xml:space="preserve">Китай</t>
        </is>
      </c>
      <c r="L577" t="inlineStr">
        <is>
          <t xml:space="preserve">6204639000</t>
        </is>
      </c>
      <c r="M577" t="inlineStr">
        <is>
          <t xml:space="preserve">Декларация № ЕАЭС N RU Д-CN.РА02.В.44039/24, до 28.02.2029</t>
        </is>
      </c>
      <c r="N577" t="inlineStr">
        <is>
          <t xml:space="preserve">28 × 21 × 2</t>
        </is>
      </c>
      <c r="O577" t="inlineStr">
        <is>
          <t xml:space="preserve">0,3</t>
        </is>
      </c>
      <c r="P577" t="inlineStr">
        <is>
          <t xml:space="preserve">4816148107855</t>
        </is>
      </c>
      <c r="Q577" s="3" t="str">
        <f>HYPERLINK("https://modify.by/img/243463598/1.webp","фото")</f>
        <v>фото</v>
      </c>
      <c r="R577" s="3" t="str">
        <f>HYPERLINK("https://modify.by/catalog/shorty/243463598/?utm_source=price&amp;utm_medium=xlsx","открыть")</f>
        <v>открыть</v>
      </c>
    </row>
    <row r="578">
      <c r="A578" t="inlineStr">
        <is>
          <t xml:space="preserve">Женский</t>
        </is>
      </c>
      <c r="B578" t="inlineStr">
        <is>
          <t xml:space="preserve">Шорты</t>
        </is>
      </c>
      <c r="C578" t="inlineStr">
        <is>
          <t xml:space="preserve">Шорты широкие школьные, черный</t>
        </is>
      </c>
      <c r="D578" t="inlineStr">
        <is>
          <t xml:space="preserve">T3BE42W02черный</t>
        </is>
      </c>
      <c r="E578" t="inlineStr">
        <is>
          <t xml:space="preserve">черный</t>
        </is>
      </c>
      <c r="F578" t="inlineStr">
        <is>
          <t xml:space="preserve">48</t>
        </is>
      </c>
      <c r="G578">
        <v>8</v>
      </c>
      <c r="H578" s="2">
        <v>37.0</v>
      </c>
      <c r="I578" t="inlineStr">
        <is>
          <t xml:space="preserve">полиэстер</t>
        </is>
      </c>
      <c r="J578"/>
      <c r="K578" t="inlineStr">
        <is>
          <t xml:space="preserve">Китай</t>
        </is>
      </c>
      <c r="L578" t="inlineStr">
        <is>
          <t xml:space="preserve">6204639000</t>
        </is>
      </c>
      <c r="M578" t="inlineStr">
        <is>
          <t xml:space="preserve">Декларация № ЕАЭС N RU Д-CN.РА02.В.44039/24, до 28.02.2029</t>
        </is>
      </c>
      <c r="N578" t="inlineStr">
        <is>
          <t xml:space="preserve">28 × 21 × 2</t>
        </is>
      </c>
      <c r="O578" t="inlineStr">
        <is>
          <t xml:space="preserve">0,3</t>
        </is>
      </c>
      <c r="P578" t="inlineStr">
        <is>
          <t xml:space="preserve">4816148107862</t>
        </is>
      </c>
      <c r="Q578" s="3" t="str">
        <f>HYPERLINK("https://modify.by/img/243463598/1.webp","фото")</f>
        <v>фото</v>
      </c>
      <c r="R578" s="3" t="str">
        <f>HYPERLINK("https://modify.by/catalog/shorty/243463598/?utm_source=price&amp;utm_medium=xlsx","открыть")</f>
        <v>открыть</v>
      </c>
    </row>
    <row r="579">
      <c r="A579" t="inlineStr">
        <is>
          <t xml:space="preserve">Женский</t>
        </is>
      </c>
      <c r="B579" t="inlineStr">
        <is>
          <t xml:space="preserve">Шорты</t>
        </is>
      </c>
      <c r="C579" t="inlineStr">
        <is>
          <t xml:space="preserve">Шорты школьные форма</t>
        </is>
      </c>
      <c r="D579" t="inlineStr">
        <is>
          <t xml:space="preserve">T3BE42W02коричневый</t>
        </is>
      </c>
      <c r="E579" t="inlineStr">
        <is>
          <t xml:space="preserve">коричневый</t>
        </is>
      </c>
      <c r="F579" t="inlineStr">
        <is>
          <t xml:space="preserve">44</t>
        </is>
      </c>
      <c r="G579">
        <v>4</v>
      </c>
      <c r="H579" s="2">
        <v>37.0</v>
      </c>
      <c r="I579" t="inlineStr">
        <is>
          <t xml:space="preserve">полиэстер</t>
        </is>
      </c>
      <c r="J579"/>
      <c r="K579" t="inlineStr">
        <is>
          <t xml:space="preserve">Китай</t>
        </is>
      </c>
      <c r="L579" t="inlineStr">
        <is>
          <t xml:space="preserve">6204639000</t>
        </is>
      </c>
      <c r="M579" t="inlineStr">
        <is>
          <t xml:space="preserve">Декларация № ЕАЭС N RU Д-CN.РА02.В.44039/24, до 28.02.2029</t>
        </is>
      </c>
      <c r="N579" t="inlineStr">
        <is>
          <t xml:space="preserve">28 × 21 × 2</t>
        </is>
      </c>
      <c r="O579" t="inlineStr">
        <is>
          <t xml:space="preserve">0,3</t>
        </is>
      </c>
      <c r="P579" t="inlineStr">
        <is>
          <t xml:space="preserve">4816148107923</t>
        </is>
      </c>
      <c r="Q579" s="3" t="str">
        <f>HYPERLINK("https://modify.by/img/243463607/1.webp","фото")</f>
        <v>фото</v>
      </c>
      <c r="R579" s="3" t="str">
        <f>HYPERLINK("https://modify.by/catalog/shorty/243463607/?utm_source=price&amp;utm_medium=xlsx","открыть")</f>
        <v>открыть</v>
      </c>
    </row>
    <row r="580">
      <c r="A580" t="inlineStr">
        <is>
          <t xml:space="preserve">Женский</t>
        </is>
      </c>
      <c r="B580" t="inlineStr">
        <is>
          <t xml:space="preserve">Шорты</t>
        </is>
      </c>
      <c r="C580" t="inlineStr">
        <is>
          <t xml:space="preserve">Шорты школьные форма</t>
        </is>
      </c>
      <c r="D580" t="inlineStr">
        <is>
          <t xml:space="preserve">T3BE42W02коричневый</t>
        </is>
      </c>
      <c r="E580" t="inlineStr">
        <is>
          <t xml:space="preserve">коричневый</t>
        </is>
      </c>
      <c r="F580" t="inlineStr">
        <is>
          <t xml:space="preserve">46</t>
        </is>
      </c>
      <c r="G580">
        <v>4</v>
      </c>
      <c r="H580" s="2">
        <v>37.0</v>
      </c>
      <c r="I580" t="inlineStr">
        <is>
          <t xml:space="preserve">полиэстер</t>
        </is>
      </c>
      <c r="J580"/>
      <c r="K580" t="inlineStr">
        <is>
          <t xml:space="preserve">Китай</t>
        </is>
      </c>
      <c r="L580" t="inlineStr">
        <is>
          <t xml:space="preserve">6204639000</t>
        </is>
      </c>
      <c r="M580" t="inlineStr">
        <is>
          <t xml:space="preserve">Декларация № ЕАЭС N RU Д-CN.РА02.В.44039/24, до 28.02.2029</t>
        </is>
      </c>
      <c r="N580" t="inlineStr">
        <is>
          <t xml:space="preserve">28 × 21 × 2</t>
        </is>
      </c>
      <c r="O580" t="inlineStr">
        <is>
          <t xml:space="preserve">0,3</t>
        </is>
      </c>
      <c r="P580" t="inlineStr">
        <is>
          <t xml:space="preserve">4816148107930</t>
        </is>
      </c>
      <c r="Q580" s="3" t="str">
        <f>HYPERLINK("https://modify.by/img/243463607/1.webp","фото")</f>
        <v>фото</v>
      </c>
      <c r="R580" s="3" t="str">
        <f>HYPERLINK("https://modify.by/catalog/shorty/243463607/?utm_source=price&amp;utm_medium=xlsx","открыть")</f>
        <v>открыть</v>
      </c>
    </row>
    <row r="581">
      <c r="A581" t="inlineStr">
        <is>
          <t xml:space="preserve">Женский</t>
        </is>
      </c>
      <c r="B581" t="inlineStr">
        <is>
          <t xml:space="preserve">Шорты</t>
        </is>
      </c>
      <c r="C581" t="inlineStr">
        <is>
          <t xml:space="preserve">Шорты школьные форма</t>
        </is>
      </c>
      <c r="D581" t="inlineStr">
        <is>
          <t xml:space="preserve">T3BE42W02коричневый</t>
        </is>
      </c>
      <c r="E581" t="inlineStr">
        <is>
          <t xml:space="preserve">коричневый</t>
        </is>
      </c>
      <c r="F581" t="inlineStr">
        <is>
          <t xml:space="preserve">48</t>
        </is>
      </c>
      <c r="G581">
        <v>4</v>
      </c>
      <c r="H581" s="2">
        <v>37.0</v>
      </c>
      <c r="I581" t="inlineStr">
        <is>
          <t xml:space="preserve">полиэстер</t>
        </is>
      </c>
      <c r="J581"/>
      <c r="K581" t="inlineStr">
        <is>
          <t xml:space="preserve">Китай</t>
        </is>
      </c>
      <c r="L581" t="inlineStr">
        <is>
          <t xml:space="preserve">6204639000</t>
        </is>
      </c>
      <c r="M581" t="inlineStr">
        <is>
          <t xml:space="preserve">Декларация № ЕАЭС N RU Д-CN.РА02.В.44039/24, до 28.02.2029</t>
        </is>
      </c>
      <c r="N581" t="inlineStr">
        <is>
          <t xml:space="preserve">28 × 21 × 2</t>
        </is>
      </c>
      <c r="O581" t="inlineStr">
        <is>
          <t xml:space="preserve">0,3</t>
        </is>
      </c>
      <c r="P581" t="inlineStr">
        <is>
          <t xml:space="preserve">4816148107947</t>
        </is>
      </c>
      <c r="Q581" s="3" t="str">
        <f>HYPERLINK("https://modify.by/img/243463607/1.webp","фото")</f>
        <v>фото</v>
      </c>
      <c r="R581" s="3" t="str">
        <f>HYPERLINK("https://modify.by/catalog/shorty/243463607/?utm_source=price&amp;utm_medium=xlsx","открыть")</f>
        <v>открыть</v>
      </c>
    </row>
    <row r="582">
      <c r="A582" t="inlineStr">
        <is>
          <t xml:space="preserve">Женский</t>
        </is>
      </c>
      <c r="B582" t="inlineStr">
        <is>
          <t xml:space="preserve">Шорты</t>
        </is>
      </c>
      <c r="C582" t="inlineStr">
        <is>
          <t xml:space="preserve">Шорты, белый</t>
        </is>
      </c>
      <c r="D582" t="inlineStr">
        <is>
          <t xml:space="preserve">CP12W04**Белый</t>
        </is>
      </c>
      <c r="E582" t="inlineStr">
        <is>
          <t xml:space="preserve">белый</t>
        </is>
      </c>
      <c r="F582" t="inlineStr">
        <is>
          <t xml:space="preserve">46-48</t>
        </is>
      </c>
      <c r="G582">
        <v>2</v>
      </c>
      <c r="H582" s="2">
        <v>21.0</v>
      </c>
      <c r="I582" t="inlineStr">
        <is>
          <t xml:space="preserve">Хлопок 98%, Эластан 2%</t>
        </is>
      </c>
      <c r="J582"/>
      <c r="K582" t="inlineStr">
        <is>
          <t xml:space="preserve">Бангладеш</t>
        </is>
      </c>
      <c r="L582" t="inlineStr">
        <is>
          <t xml:space="preserve">6204639000</t>
        </is>
      </c>
      <c r="M582" t="inlineStr">
        <is>
          <t xml:space="preserve">по запросу</t>
        </is>
      </c>
      <c r="N582"/>
      <c r="O582"/>
      <c r="P582" t="inlineStr">
        <is>
          <t xml:space="preserve">4816148179319</t>
        </is>
      </c>
      <c r="Q582" s="3" t="str">
        <f>HYPERLINK("https://modify.by/img/60711261/1.webp","фото")</f>
        <v>фото</v>
      </c>
      <c r="R582" s="3" t="str">
        <f>HYPERLINK("https://modify.by/catalog/shorty/60711261/?utm_source=price&amp;utm_medium=xlsx","открыть")</f>
        <v>открыть</v>
      </c>
    </row>
    <row r="583">
      <c r="A583" t="inlineStr">
        <is>
          <t xml:space="preserve">Женский</t>
        </is>
      </c>
      <c r="B583" t="inlineStr">
        <is>
          <t xml:space="preserve">Шорты</t>
        </is>
      </c>
      <c r="C583" t="inlineStr">
        <is>
          <t xml:space="preserve">Шорты, горчичный</t>
        </is>
      </c>
      <c r="D583" t="inlineStr">
        <is>
          <t xml:space="preserve">CP12W02*Горчичный</t>
        </is>
      </c>
      <c r="E583" t="inlineStr">
        <is>
          <t xml:space="preserve">горчичный</t>
        </is>
      </c>
      <c r="F583" t="inlineStr">
        <is>
          <t xml:space="preserve">46</t>
        </is>
      </c>
      <c r="G583">
        <v>1</v>
      </c>
      <c r="H583" s="2">
        <v>22.0</v>
      </c>
      <c r="I583"/>
      <c r="J583"/>
      <c r="K583" t="inlineStr">
        <is>
          <t xml:space="preserve">Бангладеш</t>
        </is>
      </c>
      <c r="L583" t="inlineStr">
        <is>
          <t xml:space="preserve">6204639000</t>
        </is>
      </c>
      <c r="M583" t="inlineStr">
        <is>
          <t xml:space="preserve">по запросу</t>
        </is>
      </c>
      <c r="N583"/>
      <c r="O583"/>
      <c r="P583" t="inlineStr">
        <is>
          <t xml:space="preserve">4816148179265</t>
        </is>
      </c>
      <c r="Q583" s="3" t="str">
        <f>HYPERLINK("https://modify.by/img/77298350/1.webp","фото")</f>
        <v>фото</v>
      </c>
      <c r="R583" s="3" t="str">
        <f>HYPERLINK("https://modify.by/catalog/shorty/77298350/?utm_source=price&amp;utm_medium=xlsx","открыть")</f>
        <v>открыть</v>
      </c>
    </row>
    <row r="584">
      <c r="A584" t="inlineStr">
        <is>
          <t xml:space="preserve">Женский</t>
        </is>
      </c>
      <c r="B584" t="inlineStr">
        <is>
          <t xml:space="preserve">Шорты</t>
        </is>
      </c>
      <c r="C584" t="inlineStr">
        <is>
          <t xml:space="preserve">Шорты, горчичный</t>
        </is>
      </c>
      <c r="D584" t="inlineStr">
        <is>
          <t xml:space="preserve">CP12W02*Горчичный</t>
        </is>
      </c>
      <c r="E584" t="inlineStr">
        <is>
          <t xml:space="preserve">горчичный</t>
        </is>
      </c>
      <c r="F584" t="inlineStr">
        <is>
          <t xml:space="preserve">46</t>
        </is>
      </c>
      <c r="G584">
        <v>1</v>
      </c>
      <c r="H584" s="2">
        <v>22.0</v>
      </c>
      <c r="I584"/>
      <c r="J584"/>
      <c r="K584" t="inlineStr">
        <is>
          <t xml:space="preserve">Бангладеш</t>
        </is>
      </c>
      <c r="L584" t="inlineStr">
        <is>
          <t xml:space="preserve">6204639000</t>
        </is>
      </c>
      <c r="M584" t="inlineStr">
        <is>
          <t xml:space="preserve">по запросу</t>
        </is>
      </c>
      <c r="N584"/>
      <c r="O584"/>
      <c r="P584" t="inlineStr">
        <is>
          <t xml:space="preserve">8595633713554</t>
        </is>
      </c>
      <c r="Q584" s="3" t="str">
        <f>HYPERLINK("https://modify.by/img/77298350/1.webp","фото")</f>
        <v>фото</v>
      </c>
      <c r="R584" s="3" t="str">
        <f>HYPERLINK("https://modify.by/catalog/shorty/77298350/?utm_source=price&amp;utm_medium=xlsx","открыть")</f>
        <v>открыть</v>
      </c>
    </row>
    <row r="585">
      <c r="A585" t="inlineStr">
        <is>
          <t xml:space="preserve">Женский</t>
        </is>
      </c>
      <c r="B585" t="inlineStr">
        <is>
          <t xml:space="preserve">Шорты</t>
        </is>
      </c>
      <c r="C585" t="inlineStr">
        <is>
          <t xml:space="preserve">Шорты-юбка баллон</t>
        </is>
      </c>
      <c r="D585" t="inlineStr">
        <is>
          <t xml:space="preserve">T3SK52W01sбелый</t>
        </is>
      </c>
      <c r="E585" t="inlineStr">
        <is>
          <t xml:space="preserve">белый</t>
        </is>
      </c>
      <c r="F585" t="inlineStr">
        <is>
          <t xml:space="preserve">50</t>
        </is>
      </c>
      <c r="G585">
        <v>1</v>
      </c>
      <c r="H585" s="2">
        <v>15.0</v>
      </c>
      <c r="I585" t="inlineStr">
        <is>
          <t xml:space="preserve">100% полиэстер</t>
        </is>
      </c>
      <c r="J585"/>
      <c r="K585" t="inlineStr">
        <is>
          <t xml:space="preserve">Китай</t>
        </is>
      </c>
      <c r="L585" t="inlineStr">
        <is>
          <t xml:space="preserve">6204639000</t>
        </is>
      </c>
      <c r="M585" t="inlineStr">
        <is>
          <t xml:space="preserve">Декларация № ЕАЭС N RU Д-CN.РА02.В.44039/24, до 28.02.2029</t>
        </is>
      </c>
      <c r="N585" t="inlineStr">
        <is>
          <t xml:space="preserve">27 × 18 × 2</t>
        </is>
      </c>
      <c r="O585" t="inlineStr">
        <is>
          <t xml:space="preserve">0,25</t>
        </is>
      </c>
      <c r="P585" t="inlineStr">
        <is>
          <t xml:space="preserve">4816148167057</t>
        </is>
      </c>
      <c r="Q585" s="3" t="str">
        <f>HYPERLINK("https://modify.by/img/423522101/1.webp","фото")</f>
        <v>фото</v>
      </c>
      <c r="R585" s="3" t="str">
        <f>HYPERLINK("https://modify.by/catalog/shorty/423522101/?utm_source=price&amp;utm_medium=xlsx","открыть")</f>
        <v>открыть</v>
      </c>
    </row>
    <row r="586">
      <c r="A586" t="inlineStr">
        <is>
          <t xml:space="preserve">Женский</t>
        </is>
      </c>
      <c r="B586" t="inlineStr">
        <is>
          <t xml:space="preserve">Шорты</t>
        </is>
      </c>
      <c r="C586" t="inlineStr">
        <is>
          <t xml:space="preserve">шорты белые с высокой посадкой</t>
        </is>
      </c>
      <c r="D586" t="inlineStr">
        <is>
          <t xml:space="preserve">PA3332W01Белый</t>
        </is>
      </c>
      <c r="E586" t="inlineStr">
        <is>
          <t xml:space="preserve">белый</t>
        </is>
      </c>
      <c r="F586" t="inlineStr">
        <is>
          <t xml:space="preserve">44</t>
        </is>
      </c>
      <c r="G586">
        <v>1</v>
      </c>
      <c r="H586" s="2">
        <v>71.0</v>
      </c>
      <c r="I586" t="inlineStr">
        <is>
          <t xml:space="preserve">Хлопок 98% эластан 2%</t>
        </is>
      </c>
      <c r="J586"/>
      <c r="K586" t="inlineStr">
        <is>
          <t xml:space="preserve">Турция</t>
        </is>
      </c>
      <c r="L586" t="inlineStr">
        <is>
          <t xml:space="preserve">6204623900</t>
        </is>
      </c>
      <c r="M586" t="inlineStr">
        <is>
          <t xml:space="preserve">Декларация № ЕАЭС № BY/112 11.01 ТР017 122.01 08885, до 21.06.2028</t>
        </is>
      </c>
      <c r="N586" t="inlineStr">
        <is>
          <t xml:space="preserve">33 × 30 × 3</t>
        </is>
      </c>
      <c r="O586" t="inlineStr">
        <is>
          <t xml:space="preserve">0,25</t>
        </is>
      </c>
      <c r="P586" t="inlineStr">
        <is>
          <t xml:space="preserve">2038096169491</t>
        </is>
      </c>
      <c r="Q586" s="3" t="str">
        <f>HYPERLINK("https://modify.by/img/178140546/1.webp","фото")</f>
        <v>фото</v>
      </c>
      <c r="R586" s="3" t="str">
        <f>HYPERLINK("https://modify.by/catalog/shorty/178140546/?utm_source=price&amp;utm_medium=xlsx","открыть")</f>
        <v>открыть</v>
      </c>
    </row>
    <row r="587">
      <c r="A587" t="inlineStr">
        <is>
          <t xml:space="preserve">Женский</t>
        </is>
      </c>
      <c r="B587" t="inlineStr">
        <is>
          <t xml:space="preserve">Шорты</t>
        </is>
      </c>
      <c r="C587" t="inlineStr">
        <is>
          <t xml:space="preserve">шорты белые с высокой посадкой</t>
        </is>
      </c>
      <c r="D587" t="inlineStr">
        <is>
          <t xml:space="preserve">PA3332W01Белый</t>
        </is>
      </c>
      <c r="E587" t="inlineStr">
        <is>
          <t xml:space="preserve">белый</t>
        </is>
      </c>
      <c r="F587" t="inlineStr">
        <is>
          <t xml:space="preserve">48</t>
        </is>
      </c>
      <c r="G587">
        <v>1</v>
      </c>
      <c r="H587" s="2">
        <v>71.0</v>
      </c>
      <c r="I587" t="inlineStr">
        <is>
          <t xml:space="preserve">Хлопок 98% эластан 2%</t>
        </is>
      </c>
      <c r="J587"/>
      <c r="K587" t="inlineStr">
        <is>
          <t xml:space="preserve">Турция</t>
        </is>
      </c>
      <c r="L587" t="inlineStr">
        <is>
          <t xml:space="preserve">6204623900</t>
        </is>
      </c>
      <c r="M587" t="inlineStr">
        <is>
          <t xml:space="preserve">Декларация № ЕАЭС № BY/112 11.01 ТР017 122.01 08885, до 21.06.2028</t>
        </is>
      </c>
      <c r="N587" t="inlineStr">
        <is>
          <t xml:space="preserve">33 × 30 × 3</t>
        </is>
      </c>
      <c r="O587" t="inlineStr">
        <is>
          <t xml:space="preserve">0,25</t>
        </is>
      </c>
      <c r="P587" t="inlineStr">
        <is>
          <t xml:space="preserve">2038096169514</t>
        </is>
      </c>
      <c r="Q587" s="3" t="str">
        <f>HYPERLINK("https://modify.by/img/178140546/1.webp","фото")</f>
        <v>фото</v>
      </c>
      <c r="R587" s="3" t="str">
        <f>HYPERLINK("https://modify.by/catalog/shorty/178140546/?utm_source=price&amp;utm_medium=xlsx","открыть")</f>
        <v>открыть</v>
      </c>
    </row>
    <row r="588">
      <c r="A588" t="inlineStr">
        <is>
          <t xml:space="preserve">Женский</t>
        </is>
      </c>
      <c r="B588" t="inlineStr">
        <is>
          <t xml:space="preserve">Шорты</t>
        </is>
      </c>
      <c r="C588" t="inlineStr">
        <is>
          <t xml:space="preserve">шорты джинсовые высокая посадка клеш, голубой</t>
        </is>
      </c>
      <c r="D588" t="inlineStr">
        <is>
          <t xml:space="preserve">SE32W03Голубой</t>
        </is>
      </c>
      <c r="E588" t="inlineStr">
        <is>
          <t xml:space="preserve">голубой</t>
        </is>
      </c>
      <c r="F588" t="inlineStr">
        <is>
          <t xml:space="preserve">48</t>
        </is>
      </c>
      <c r="G588">
        <v>1</v>
      </c>
      <c r="H588" s="2">
        <v>29.0</v>
      </c>
      <c r="I588" t="inlineStr">
        <is>
          <t xml:space="preserve">хлопок 100%</t>
        </is>
      </c>
      <c r="J588"/>
      <c r="K588" t="inlineStr">
        <is>
          <t xml:space="preserve">Бангладеш</t>
        </is>
      </c>
      <c r="L588" t="inlineStr">
        <is>
          <t xml:space="preserve">6204629000</t>
        </is>
      </c>
      <c r="M588" t="inlineStr">
        <is>
          <t xml:space="preserve">по запросу</t>
        </is>
      </c>
      <c r="N588" t="inlineStr">
        <is>
          <t xml:space="preserve">38 × 30 × 2</t>
        </is>
      </c>
      <c r="O588" t="inlineStr">
        <is>
          <t xml:space="preserve">0,45</t>
        </is>
      </c>
      <c r="P588" t="inlineStr">
        <is>
          <t xml:space="preserve">2038096161518</t>
        </is>
      </c>
      <c r="Q588" s="3" t="str">
        <f>HYPERLINK("https://modify.by/img/171780592/1.webp","фото")</f>
        <v>фото</v>
      </c>
      <c r="R588" s="3" t="str">
        <f>HYPERLINK("https://modify.by/catalog/shorty/171780592/?utm_source=price&amp;utm_medium=xlsx","открыть")</f>
        <v>открыть</v>
      </c>
    </row>
    <row r="589">
      <c r="A589" t="inlineStr">
        <is>
          <t xml:space="preserve">Женский</t>
        </is>
      </c>
      <c r="B589" t="inlineStr">
        <is>
          <t xml:space="preserve">Шорты</t>
        </is>
      </c>
      <c r="C589" t="inlineStr">
        <is>
          <t xml:space="preserve">шорты джинсовые высокая посадка клеш, голубой</t>
        </is>
      </c>
      <c r="D589" t="inlineStr">
        <is>
          <t xml:space="preserve">SE32W03Голубой</t>
        </is>
      </c>
      <c r="E589" t="inlineStr">
        <is>
          <t xml:space="preserve">голубой</t>
        </is>
      </c>
      <c r="F589" t="inlineStr">
        <is>
          <t xml:space="preserve">50</t>
        </is>
      </c>
      <c r="G589">
        <v>1</v>
      </c>
      <c r="H589" s="2">
        <v>29.0</v>
      </c>
      <c r="I589" t="inlineStr">
        <is>
          <t xml:space="preserve">хлопок 100%</t>
        </is>
      </c>
      <c r="J589"/>
      <c r="K589" t="inlineStr">
        <is>
          <t xml:space="preserve">Бангладеш</t>
        </is>
      </c>
      <c r="L589" t="inlineStr">
        <is>
          <t xml:space="preserve">6204629000</t>
        </is>
      </c>
      <c r="M589" t="inlineStr">
        <is>
          <t xml:space="preserve">по запросу</t>
        </is>
      </c>
      <c r="N589" t="inlineStr">
        <is>
          <t xml:space="preserve">38 × 30 × 2</t>
        </is>
      </c>
      <c r="O589" t="inlineStr">
        <is>
          <t xml:space="preserve">0,45</t>
        </is>
      </c>
      <c r="P589" t="inlineStr">
        <is>
          <t xml:space="preserve">2038096161525</t>
        </is>
      </c>
      <c r="Q589" s="3" t="str">
        <f>HYPERLINK("https://modify.by/img/171780592/1.webp","фото")</f>
        <v>фото</v>
      </c>
      <c r="R589" s="3" t="str">
        <f>HYPERLINK("https://modify.by/catalog/shorty/171780592/?utm_source=price&amp;utm_medium=xlsx","открыть")</f>
        <v>открыть</v>
      </c>
    </row>
    <row r="590">
      <c r="A590" t="inlineStr">
        <is>
          <t xml:space="preserve">Женский</t>
        </is>
      </c>
      <c r="B590" t="inlineStr">
        <is>
          <t xml:space="preserve">Шорты</t>
        </is>
      </c>
      <c r="C590" t="inlineStr">
        <is>
          <t xml:space="preserve">шорты джинсовые высокая посадка клеш, голубой</t>
        </is>
      </c>
      <c r="D590" t="inlineStr">
        <is>
          <t xml:space="preserve">SE32W03Голубой</t>
        </is>
      </c>
      <c r="E590" t="inlineStr">
        <is>
          <t xml:space="preserve">голубой</t>
        </is>
      </c>
      <c r="F590" t="inlineStr">
        <is>
          <t xml:space="preserve">52</t>
        </is>
      </c>
      <c r="G590">
        <v>1</v>
      </c>
      <c r="H590" s="2">
        <v>29.0</v>
      </c>
      <c r="I590" t="inlineStr">
        <is>
          <t xml:space="preserve">хлопок 100%</t>
        </is>
      </c>
      <c r="J590"/>
      <c r="K590" t="inlineStr">
        <is>
          <t xml:space="preserve">Бангладеш</t>
        </is>
      </c>
      <c r="L590" t="inlineStr">
        <is>
          <t xml:space="preserve">6204629000</t>
        </is>
      </c>
      <c r="M590" t="inlineStr">
        <is>
          <t xml:space="preserve">по запросу</t>
        </is>
      </c>
      <c r="N590" t="inlineStr">
        <is>
          <t xml:space="preserve">38 × 30 × 2</t>
        </is>
      </c>
      <c r="O590" t="inlineStr">
        <is>
          <t xml:space="preserve">0,45</t>
        </is>
      </c>
      <c r="P590" t="inlineStr">
        <is>
          <t xml:space="preserve">2038096161532</t>
        </is>
      </c>
      <c r="Q590" s="3" t="str">
        <f>HYPERLINK("https://modify.by/img/171780592/1.webp","фото")</f>
        <v>фото</v>
      </c>
      <c r="R590" s="3" t="str">
        <f>HYPERLINK("https://modify.by/catalog/shorty/171780592/?utm_source=price&amp;utm_medium=xlsx","открыть")</f>
        <v>открыть</v>
      </c>
    </row>
    <row r="591">
      <c r="A591" t="inlineStr">
        <is>
          <t xml:space="preserve">Женский</t>
        </is>
      </c>
      <c r="B591" t="inlineStr">
        <is>
          <t xml:space="preserve">Шорты</t>
        </is>
      </c>
      <c r="C591" t="inlineStr">
        <is>
          <t xml:space="preserve">шорты джинсовые высокая посадка клеш, графит</t>
        </is>
      </c>
      <c r="D591" t="inlineStr">
        <is>
          <t xml:space="preserve">SE32W03Графит</t>
        </is>
      </c>
      <c r="E591" t="inlineStr">
        <is>
          <t xml:space="preserve">графит</t>
        </is>
      </c>
      <c r="F591" t="inlineStr">
        <is>
          <t xml:space="preserve">48</t>
        </is>
      </c>
      <c r="G591">
        <v>1</v>
      </c>
      <c r="H591" s="2">
        <v>29.0</v>
      </c>
      <c r="I591" t="inlineStr">
        <is>
          <t xml:space="preserve">хлопок 100%</t>
        </is>
      </c>
      <c r="J591"/>
      <c r="K591" t="inlineStr">
        <is>
          <t xml:space="preserve">Бангладеш</t>
        </is>
      </c>
      <c r="L591" t="inlineStr">
        <is>
          <t xml:space="preserve">6204629000</t>
        </is>
      </c>
      <c r="M591" t="inlineStr">
        <is>
          <t xml:space="preserve">по запросу</t>
        </is>
      </c>
      <c r="N591" t="inlineStr">
        <is>
          <t xml:space="preserve">38 × 30 × 2</t>
        </is>
      </c>
      <c r="O591" t="inlineStr">
        <is>
          <t xml:space="preserve">0,45</t>
        </is>
      </c>
      <c r="P591" t="inlineStr">
        <is>
          <t xml:space="preserve">2038096161679</t>
        </is>
      </c>
      <c r="Q591" s="3" t="str">
        <f>HYPERLINK("https://modify.by/img/171780589/1.webp","фото")</f>
        <v>фото</v>
      </c>
      <c r="R591" s="3" t="str">
        <f>HYPERLINK("https://modify.by/catalog/shorty/171780589/?utm_source=price&amp;utm_medium=xlsx","открыть")</f>
        <v>открыть</v>
      </c>
    </row>
    <row r="592">
      <c r="A592" t="inlineStr">
        <is>
          <t xml:space="preserve">Женский</t>
        </is>
      </c>
      <c r="B592" t="inlineStr">
        <is>
          <t xml:space="preserve">Шорты</t>
        </is>
      </c>
      <c r="C592" t="inlineStr">
        <is>
          <t xml:space="preserve">шорты джинсовые высокая посадка клеш, светло-голубой</t>
        </is>
      </c>
      <c r="D592" t="inlineStr">
        <is>
          <t xml:space="preserve">SE32W03Светло-голубой</t>
        </is>
      </c>
      <c r="E592" t="inlineStr">
        <is>
          <t xml:space="preserve">светло-голубой</t>
        </is>
      </c>
      <c r="F592" t="inlineStr">
        <is>
          <t xml:space="preserve">52</t>
        </is>
      </c>
      <c r="G592">
        <v>1</v>
      </c>
      <c r="H592" s="2">
        <v>29.0</v>
      </c>
      <c r="I592" t="inlineStr">
        <is>
          <t xml:space="preserve">хлопок 100%</t>
        </is>
      </c>
      <c r="J592"/>
      <c r="K592" t="inlineStr">
        <is>
          <t xml:space="preserve">Бангладеш</t>
        </is>
      </c>
      <c r="L592" t="inlineStr">
        <is>
          <t xml:space="preserve">6204629000</t>
        </is>
      </c>
      <c r="M592" t="inlineStr">
        <is>
          <t xml:space="preserve">по запросу</t>
        </is>
      </c>
      <c r="N592" t="inlineStr">
        <is>
          <t xml:space="preserve">38 × 30 × 2</t>
        </is>
      </c>
      <c r="O592" t="inlineStr">
        <is>
          <t xml:space="preserve">0,45</t>
        </is>
      </c>
      <c r="P592" t="inlineStr">
        <is>
          <t xml:space="preserve">2038096161457</t>
        </is>
      </c>
      <c r="Q592" s="3" t="str">
        <f>HYPERLINK("https://modify.by/img/171780591/1.webp","фото")</f>
        <v>фото</v>
      </c>
      <c r="R592" s="3" t="str">
        <f>HYPERLINK("https://modify.by/catalog/shorty/171780591/?utm_source=price&amp;utm_medium=xlsx","открыть")</f>
        <v>открыть</v>
      </c>
    </row>
    <row r="593">
      <c r="A593" t="inlineStr">
        <is>
          <t xml:space="preserve">Женский</t>
        </is>
      </c>
      <c r="B593" t="inlineStr">
        <is>
          <t xml:space="preserve">Шорты</t>
        </is>
      </c>
      <c r="C593" t="inlineStr">
        <is>
          <t xml:space="preserve">шорты чинос летние хлопковые до середины бедра, бежевый</t>
        </is>
      </c>
      <c r="D593" t="inlineStr">
        <is>
          <t xml:space="preserve">BE22W01Бежевый_93668459</t>
        </is>
      </c>
      <c r="E593" t="inlineStr">
        <is>
          <t xml:space="preserve">бежевый</t>
        </is>
      </c>
      <c r="F593" t="inlineStr">
        <is>
          <t xml:space="preserve">48-50</t>
        </is>
      </c>
      <c r="G593">
        <v>1</v>
      </c>
      <c r="H593" s="2">
        <v>21.0</v>
      </c>
      <c r="I593" t="inlineStr">
        <is>
          <t xml:space="preserve">98% хлопок 2% эластан</t>
        </is>
      </c>
      <c r="J593" t="inlineStr">
        <is>
          <t xml:space="preserve">лето</t>
        </is>
      </c>
      <c r="K593" t="inlineStr">
        <is>
          <t xml:space="preserve">Бангладеш</t>
        </is>
      </c>
      <c r="L593" t="inlineStr">
        <is>
          <t xml:space="preserve">6204629000</t>
        </is>
      </c>
      <c r="M593" t="inlineStr">
        <is>
          <t xml:space="preserve">Декларация № ЕАЭС № BY/112 11.01. ТР017 122.01 08246, до 19.04.2028</t>
        </is>
      </c>
      <c r="N593" t="inlineStr">
        <is>
          <t xml:space="preserve">1 × 30 × 35</t>
        </is>
      </c>
      <c r="O593" t="inlineStr">
        <is>
          <t xml:space="preserve">0,4</t>
        </is>
      </c>
      <c r="P593" t="inlineStr">
        <is>
          <t xml:space="preserve">2016957037530</t>
        </is>
      </c>
      <c r="Q593" s="3" t="str">
        <f>HYPERLINK("https://modify.by/img/93668459/1.webp","фото")</f>
        <v>фото</v>
      </c>
      <c r="R593" s="3" t="str">
        <f>HYPERLINK("https://modify.by/catalog/shorty/93668459/?utm_source=price&amp;utm_medium=xlsx","открыть")</f>
        <v>открыть</v>
      </c>
    </row>
    <row r="594">
      <c r="A594" t="inlineStr">
        <is>
          <t xml:space="preserve">Женский</t>
        </is>
      </c>
      <c r="B594" t="inlineStr">
        <is>
          <t xml:space="preserve">Шорты</t>
        </is>
      </c>
      <c r="C594" t="inlineStr">
        <is>
          <t xml:space="preserve">шорты чинос летние хлопковые до середины бедра, бежевый</t>
        </is>
      </c>
      <c r="D594" t="inlineStr">
        <is>
          <t xml:space="preserve">BE22W01Бежевый_93668459</t>
        </is>
      </c>
      <c r="E594" t="inlineStr">
        <is>
          <t xml:space="preserve">бежевый</t>
        </is>
      </c>
      <c r="F594" t="inlineStr">
        <is>
          <t xml:space="preserve">48-50</t>
        </is>
      </c>
      <c r="G594">
        <v>1</v>
      </c>
      <c r="H594" s="2">
        <v>21.0</v>
      </c>
      <c r="I594" t="inlineStr">
        <is>
          <t xml:space="preserve">98% хлопок 2% эластан</t>
        </is>
      </c>
      <c r="J594" t="inlineStr">
        <is>
          <t xml:space="preserve">лето</t>
        </is>
      </c>
      <c r="K594" t="inlineStr">
        <is>
          <t xml:space="preserve">Бангладеш</t>
        </is>
      </c>
      <c r="L594" t="inlineStr">
        <is>
          <t xml:space="preserve">6204629000</t>
        </is>
      </c>
      <c r="M594" t="inlineStr">
        <is>
          <t xml:space="preserve">Декларация № ЕАЭС № BY/112 11.01. ТР017 122.01 08246, до 19.04.2028</t>
        </is>
      </c>
      <c r="N594" t="inlineStr">
        <is>
          <t xml:space="preserve">1 × 30 × 35</t>
        </is>
      </c>
      <c r="O594" t="inlineStr">
        <is>
          <t xml:space="preserve">0,4</t>
        </is>
      </c>
      <c r="P594" t="inlineStr">
        <is>
          <t xml:space="preserve">4816148176400</t>
        </is>
      </c>
      <c r="Q594" s="3" t="str">
        <f>HYPERLINK("https://modify.by/img/93668459/1.webp","фото")</f>
        <v>фото</v>
      </c>
      <c r="R594" s="3" t="str">
        <f>HYPERLINK("https://modify.by/catalog/shorty/93668459/?utm_source=price&amp;utm_medium=xlsx","открыть")</f>
        <v>открыть</v>
      </c>
    </row>
    <row r="595">
      <c r="A595" t="inlineStr">
        <is>
          <t xml:space="preserve">Женский</t>
        </is>
      </c>
      <c r="B595" t="inlineStr">
        <is>
          <t xml:space="preserve">Шорты</t>
        </is>
      </c>
      <c r="C595" t="inlineStr">
        <is>
          <t xml:space="preserve">шорты чинос летние хлопковые до середины бедра, бежевый</t>
        </is>
      </c>
      <c r="D595" t="inlineStr">
        <is>
          <t xml:space="preserve">BE22W01Бежевый_93668459</t>
        </is>
      </c>
      <c r="E595" t="inlineStr">
        <is>
          <t xml:space="preserve">бежевый</t>
        </is>
      </c>
      <c r="F595" t="inlineStr">
        <is>
          <t xml:space="preserve">54-56</t>
        </is>
      </c>
      <c r="G595">
        <v>1</v>
      </c>
      <c r="H595" s="2">
        <v>21.0</v>
      </c>
      <c r="I595" t="inlineStr">
        <is>
          <t xml:space="preserve">98% хлопок 2% эластан</t>
        </is>
      </c>
      <c r="J595" t="inlineStr">
        <is>
          <t xml:space="preserve">лето</t>
        </is>
      </c>
      <c r="K595" t="inlineStr">
        <is>
          <t xml:space="preserve">Бангладеш</t>
        </is>
      </c>
      <c r="L595" t="inlineStr">
        <is>
          <t xml:space="preserve">6204629000</t>
        </is>
      </c>
      <c r="M595" t="inlineStr">
        <is>
          <t xml:space="preserve">Декларация № ЕАЭС № BY/112 11.01. ТР017 122.01 08246, до 19.04.2028</t>
        </is>
      </c>
      <c r="N595" t="inlineStr">
        <is>
          <t xml:space="preserve">1 × 30 × 35</t>
        </is>
      </c>
      <c r="O595" t="inlineStr">
        <is>
          <t xml:space="preserve">0,4</t>
        </is>
      </c>
      <c r="P595" t="inlineStr">
        <is>
          <t xml:space="preserve">2016957037509</t>
        </is>
      </c>
      <c r="Q595" s="3" t="str">
        <f>HYPERLINK("https://modify.by/img/93668459/1.webp","фото")</f>
        <v>фото</v>
      </c>
      <c r="R595" s="3" t="str">
        <f>HYPERLINK("https://modify.by/catalog/shorty/93668459/?utm_source=price&amp;utm_medium=xlsx","открыть")</f>
        <v>открыть</v>
      </c>
    </row>
    <row r="596">
      <c r="A596" t="inlineStr">
        <is>
          <t xml:space="preserve">Женский</t>
        </is>
      </c>
      <c r="B596" t="inlineStr">
        <is>
          <t xml:space="preserve">Шорты</t>
        </is>
      </c>
      <c r="C596" t="inlineStr">
        <is>
          <t xml:space="preserve">шорты чинос летние хлопковые до середины бедра, серый</t>
        </is>
      </c>
      <c r="D596" t="inlineStr">
        <is>
          <t xml:space="preserve">BE22W01Серый,белый</t>
        </is>
      </c>
      <c r="E596" t="inlineStr">
        <is>
          <t xml:space="preserve">серый, белый</t>
        </is>
      </c>
      <c r="F596" t="inlineStr">
        <is>
          <t xml:space="preserve">40-42</t>
        </is>
      </c>
      <c r="G596">
        <v>1</v>
      </c>
      <c r="H596" s="2">
        <v>21.0</v>
      </c>
      <c r="I596" t="inlineStr">
        <is>
          <t xml:space="preserve">98% хлопок 2% эластан</t>
        </is>
      </c>
      <c r="J596" t="inlineStr">
        <is>
          <t xml:space="preserve">лето</t>
        </is>
      </c>
      <c r="K596" t="inlineStr">
        <is>
          <t xml:space="preserve">Бангладеш</t>
        </is>
      </c>
      <c r="L596" t="inlineStr">
        <is>
          <t xml:space="preserve">6204629000</t>
        </is>
      </c>
      <c r="M596" t="inlineStr">
        <is>
          <t xml:space="preserve">по запросу</t>
        </is>
      </c>
      <c r="N596" t="inlineStr">
        <is>
          <t xml:space="preserve">1 × 30 × 35</t>
        </is>
      </c>
      <c r="O596" t="inlineStr">
        <is>
          <t xml:space="preserve">0,4</t>
        </is>
      </c>
      <c r="P596" t="inlineStr">
        <is>
          <t xml:space="preserve">2016957070278</t>
        </is>
      </c>
      <c r="Q596" s="3" t="str">
        <f>HYPERLINK("https://modify.by/img/93668462/1.webp","фото")</f>
        <v>фото</v>
      </c>
      <c r="R596" s="3" t="str">
        <f>HYPERLINK("https://modify.by/catalog/shorty/93668462/?utm_source=price&amp;utm_medium=xlsx","открыть")</f>
        <v>открыть</v>
      </c>
    </row>
    <row r="597">
      <c r="A597" t="inlineStr">
        <is>
          <t xml:space="preserve">Женский</t>
        </is>
      </c>
      <c r="B597" t="inlineStr">
        <is>
          <t xml:space="preserve">Шорты</t>
        </is>
      </c>
      <c r="C597" t="inlineStr">
        <is>
          <t xml:space="preserve">шорты чинос летние хлопковые до середины бедра, черный</t>
        </is>
      </c>
      <c r="D597" t="inlineStr">
        <is>
          <t xml:space="preserve">BE22W01Черный</t>
        </is>
      </c>
      <c r="E597" t="inlineStr">
        <is>
          <t xml:space="preserve">черный</t>
        </is>
      </c>
      <c r="F597" t="inlineStr">
        <is>
          <t xml:space="preserve">44-46</t>
        </is>
      </c>
      <c r="G597">
        <v>5</v>
      </c>
      <c r="H597" s="2">
        <v>21.0</v>
      </c>
      <c r="I597" t="inlineStr">
        <is>
          <t xml:space="preserve">98% хлопок 2% эластан</t>
        </is>
      </c>
      <c r="J597" t="inlineStr">
        <is>
          <t xml:space="preserve">лето</t>
        </is>
      </c>
      <c r="K597" t="inlineStr">
        <is>
          <t xml:space="preserve">Бангладеш</t>
        </is>
      </c>
      <c r="L597" t="inlineStr">
        <is>
          <t xml:space="preserve">6204629000</t>
        </is>
      </c>
      <c r="M597" t="inlineStr">
        <is>
          <t xml:space="preserve">по запросу</t>
        </is>
      </c>
      <c r="N597" t="inlineStr">
        <is>
          <t xml:space="preserve">1 × 30 × 35</t>
        </is>
      </c>
      <c r="O597" t="inlineStr">
        <is>
          <t xml:space="preserve">0,4</t>
        </is>
      </c>
      <c r="P597" t="inlineStr">
        <is>
          <t xml:space="preserve">2016957037547</t>
        </is>
      </c>
      <c r="Q597" s="3" t="str">
        <f>HYPERLINK("https://modify.by/img/93668465/1.webp","фото")</f>
        <v>фото</v>
      </c>
      <c r="R597" s="3" t="str">
        <f>HYPERLINK("https://modify.by/catalog/shorty/93668465/?utm_source=price&amp;utm_medium=xlsx","открыть")</f>
        <v>открыть</v>
      </c>
    </row>
    <row r="598">
      <c r="A598" t="inlineStr">
        <is>
          <t xml:space="preserve">Женский</t>
        </is>
      </c>
      <c r="B598" t="inlineStr">
        <is>
          <t xml:space="preserve">Шорты</t>
        </is>
      </c>
      <c r="C598" t="inlineStr">
        <is>
          <t xml:space="preserve">шорты чинос летние хлопковые до середины бедра, черный</t>
        </is>
      </c>
      <c r="D598" t="inlineStr">
        <is>
          <t xml:space="preserve">BE22W01Черный</t>
        </is>
      </c>
      <c r="E598" t="inlineStr">
        <is>
          <t xml:space="preserve">черный</t>
        </is>
      </c>
      <c r="F598" t="inlineStr">
        <is>
          <t xml:space="preserve">48-50</t>
        </is>
      </c>
      <c r="G598">
        <v>1</v>
      </c>
      <c r="H598" s="2">
        <v>21.0</v>
      </c>
      <c r="I598" t="inlineStr">
        <is>
          <t xml:space="preserve">98% хлопок 2% эластан</t>
        </is>
      </c>
      <c r="J598" t="inlineStr">
        <is>
          <t xml:space="preserve">лето</t>
        </is>
      </c>
      <c r="K598" t="inlineStr">
        <is>
          <t xml:space="preserve">Бангладеш</t>
        </is>
      </c>
      <c r="L598" t="inlineStr">
        <is>
          <t xml:space="preserve">6204629000</t>
        </is>
      </c>
      <c r="M598" t="inlineStr">
        <is>
          <t xml:space="preserve">по запросу</t>
        </is>
      </c>
      <c r="N598" t="inlineStr">
        <is>
          <t xml:space="preserve">1 × 30 × 35</t>
        </is>
      </c>
      <c r="O598" t="inlineStr">
        <is>
          <t xml:space="preserve">0,4</t>
        </is>
      </c>
      <c r="P598" t="inlineStr">
        <is>
          <t xml:space="preserve">2016957070506</t>
        </is>
      </c>
      <c r="Q598" s="3" t="str">
        <f>HYPERLINK("https://modify.by/img/93668465/1.webp","фото")</f>
        <v>фото</v>
      </c>
      <c r="R598" s="3" t="str">
        <f>HYPERLINK("https://modify.by/catalog/shorty/93668465/?utm_source=price&amp;utm_medium=xlsx","открыть")</f>
        <v>открыть</v>
      </c>
    </row>
    <row r="599">
      <c r="A599" t="inlineStr">
        <is>
          <t xml:space="preserve">Женский</t>
        </is>
      </c>
      <c r="B599" t="inlineStr">
        <is>
          <t xml:space="preserve">Юбки</t>
        </is>
      </c>
      <c r="C599" t="inlineStr">
        <is>
          <t xml:space="preserve">Юбка джинсовая с высокой посадкой клеш до колена с карманами</t>
        </is>
      </c>
      <c r="D599" t="inlineStr">
        <is>
          <t xml:space="preserve">SK32W01Синий</t>
        </is>
      </c>
      <c r="E599" t="inlineStr">
        <is>
          <t xml:space="preserve">синий</t>
        </is>
      </c>
      <c r="F599" t="inlineStr">
        <is>
          <t xml:space="preserve">44</t>
        </is>
      </c>
      <c r="G599">
        <v>1</v>
      </c>
      <c r="H599" s="2">
        <v>35.0</v>
      </c>
      <c r="I599" t="inlineStr">
        <is>
          <t xml:space="preserve">Хлопок 98% эластан 2%</t>
        </is>
      </c>
      <c r="J599"/>
      <c r="K599" t="inlineStr">
        <is>
          <t xml:space="preserve">Бангладеш</t>
        </is>
      </c>
      <c r="L599" t="inlineStr">
        <is>
          <t xml:space="preserve">6104520000</t>
        </is>
      </c>
      <c r="M599" t="inlineStr">
        <is>
          <t xml:space="preserve">по запросу</t>
        </is>
      </c>
      <c r="N599" t="inlineStr">
        <is>
          <t xml:space="preserve">35 × 30 × 4</t>
        </is>
      </c>
      <c r="O599" t="inlineStr">
        <is>
          <t xml:space="preserve">0,5</t>
        </is>
      </c>
      <c r="P599" t="inlineStr">
        <is>
          <t xml:space="preserve">2016957043227</t>
        </is>
      </c>
      <c r="Q599" s="3" t="str">
        <f>HYPERLINK("https://modify.by/img/137964653/1.webp","фото")</f>
        <v>фото</v>
      </c>
      <c r="R599" s="3" t="str">
        <f>HYPERLINK("https://modify.by/catalog/yubki/137964653/?utm_source=price&amp;utm_medium=xlsx","открыть")</f>
        <v>открыть</v>
      </c>
    </row>
    <row r="600">
      <c r="A600" t="inlineStr">
        <is>
          <t xml:space="preserve">Женский</t>
        </is>
      </c>
      <c r="B600" t="inlineStr">
        <is>
          <t xml:space="preserve">Юбки</t>
        </is>
      </c>
      <c r="C600" t="inlineStr">
        <is>
          <t xml:space="preserve">Юбка джинсовая с высокой посадкой клеш до колена с карманами</t>
        </is>
      </c>
      <c r="D600" t="inlineStr">
        <is>
          <t xml:space="preserve">SK32W01Синий</t>
        </is>
      </c>
      <c r="E600" t="inlineStr">
        <is>
          <t xml:space="preserve">синий</t>
        </is>
      </c>
      <c r="F600" t="inlineStr">
        <is>
          <t xml:space="preserve">46</t>
        </is>
      </c>
      <c r="G600">
        <v>1</v>
      </c>
      <c r="H600" s="2">
        <v>35.0</v>
      </c>
      <c r="I600" t="inlineStr">
        <is>
          <t xml:space="preserve">Хлопок 98% эластан 2%</t>
        </is>
      </c>
      <c r="J600"/>
      <c r="K600" t="inlineStr">
        <is>
          <t xml:space="preserve">Бангладеш</t>
        </is>
      </c>
      <c r="L600" t="inlineStr">
        <is>
          <t xml:space="preserve">6104520000</t>
        </is>
      </c>
      <c r="M600" t="inlineStr">
        <is>
          <t xml:space="preserve">по запросу</t>
        </is>
      </c>
      <c r="N600" t="inlineStr">
        <is>
          <t xml:space="preserve">35 × 30 × 4</t>
        </is>
      </c>
      <c r="O600" t="inlineStr">
        <is>
          <t xml:space="preserve">0,5</t>
        </is>
      </c>
      <c r="P600" t="inlineStr">
        <is>
          <t xml:space="preserve">2016957043210</t>
        </is>
      </c>
      <c r="Q600" s="3" t="str">
        <f>HYPERLINK("https://modify.by/img/137964653/1.webp","фото")</f>
        <v>фото</v>
      </c>
      <c r="R600" s="3" t="str">
        <f>HYPERLINK("https://modify.by/catalog/yubki/137964653/?utm_source=price&amp;utm_medium=xlsx","открыть")</f>
        <v>открыть</v>
      </c>
    </row>
    <row r="601">
      <c r="A601" t="inlineStr">
        <is>
          <t xml:space="preserve">Женский</t>
        </is>
      </c>
      <c r="B601" t="inlineStr">
        <is>
          <t xml:space="preserve">Юбки</t>
        </is>
      </c>
      <c r="C601" t="inlineStr">
        <is>
          <t xml:space="preserve">Юбка джинсовая с высокой посадкой клеш до колена с карманами</t>
        </is>
      </c>
      <c r="D601" t="inlineStr">
        <is>
          <t xml:space="preserve">SK32W01Синий</t>
        </is>
      </c>
      <c r="E601" t="inlineStr">
        <is>
          <t xml:space="preserve">синий</t>
        </is>
      </c>
      <c r="F601" t="inlineStr">
        <is>
          <t xml:space="preserve">48</t>
        </is>
      </c>
      <c r="G601">
        <v>1</v>
      </c>
      <c r="H601" s="2">
        <v>35.0</v>
      </c>
      <c r="I601" t="inlineStr">
        <is>
          <t xml:space="preserve">Хлопок 98% эластан 2%</t>
        </is>
      </c>
      <c r="J601"/>
      <c r="K601" t="inlineStr">
        <is>
          <t xml:space="preserve">Бангладеш</t>
        </is>
      </c>
      <c r="L601" t="inlineStr">
        <is>
          <t xml:space="preserve">6104520000</t>
        </is>
      </c>
      <c r="M601" t="inlineStr">
        <is>
          <t xml:space="preserve">по запросу</t>
        </is>
      </c>
      <c r="N601" t="inlineStr">
        <is>
          <t xml:space="preserve">35 × 30 × 4</t>
        </is>
      </c>
      <c r="O601" t="inlineStr">
        <is>
          <t xml:space="preserve">0,5</t>
        </is>
      </c>
      <c r="P601" t="inlineStr">
        <is>
          <t xml:space="preserve">2016957043203</t>
        </is>
      </c>
      <c r="Q601" s="3" t="str">
        <f>HYPERLINK("https://modify.by/img/137964653/1.webp","фото")</f>
        <v>фото</v>
      </c>
      <c r="R601" s="3" t="str">
        <f>HYPERLINK("https://modify.by/catalog/yubki/137964653/?utm_source=price&amp;utm_medium=xlsx","открыть")</f>
        <v>открыть</v>
      </c>
    </row>
    <row r="602">
      <c r="A602" t="inlineStr">
        <is>
          <t xml:space="preserve">Женский</t>
        </is>
      </c>
      <c r="B602" t="inlineStr">
        <is>
          <t xml:space="preserve">Юбки</t>
        </is>
      </c>
      <c r="C602" t="inlineStr">
        <is>
          <t xml:space="preserve">Юбка короткая трапеция</t>
        </is>
      </c>
      <c r="D602" t="inlineStr">
        <is>
          <t xml:space="preserve">SK42W02бордовый</t>
        </is>
      </c>
      <c r="E602" t="inlineStr">
        <is>
          <t xml:space="preserve">бордовый</t>
        </is>
      </c>
      <c r="F602" t="inlineStr">
        <is>
          <t xml:space="preserve">42</t>
        </is>
      </c>
      <c r="G602">
        <v>6</v>
      </c>
      <c r="H602" s="2">
        <v>23.0</v>
      </c>
      <c r="I602" t="inlineStr">
        <is>
          <t xml:space="preserve">полиэстер 65%, хлопок 30%, эластан 5%</t>
        </is>
      </c>
      <c r="J602"/>
      <c r="K602" t="inlineStr">
        <is>
          <t xml:space="preserve">Бангладеш</t>
        </is>
      </c>
      <c r="L602" t="inlineStr">
        <is>
          <t xml:space="preserve">6204530000</t>
        </is>
      </c>
      <c r="M602" t="inlineStr">
        <is>
          <t xml:space="preserve">Декларация № ЕАЭС № BY/112 11.01. ТР017 122.01 08246, до 19.04.2028</t>
        </is>
      </c>
      <c r="N602" t="inlineStr">
        <is>
          <t xml:space="preserve">34 × 27 × 2</t>
        </is>
      </c>
      <c r="O602" t="inlineStr">
        <is>
          <t xml:space="preserve">0,35</t>
        </is>
      </c>
      <c r="P602" t="inlineStr">
        <is>
          <t xml:space="preserve">4816148101334</t>
        </is>
      </c>
      <c r="Q602" s="3" t="str">
        <f>HYPERLINK("https://modify.by/img/234688328/1.webp","фото")</f>
        <v>фото</v>
      </c>
      <c r="R602" s="3" t="str">
        <f>HYPERLINK("https://modify.by/catalog/yubki/234688328/?utm_source=price&amp;utm_medium=xlsx","открыть")</f>
        <v>открыть</v>
      </c>
    </row>
    <row r="603">
      <c r="A603" t="inlineStr">
        <is>
          <t xml:space="preserve">Женский</t>
        </is>
      </c>
      <c r="B603" t="inlineStr">
        <is>
          <t xml:space="preserve">Юбки</t>
        </is>
      </c>
      <c r="C603" t="inlineStr">
        <is>
          <t xml:space="preserve">Юбка летняя хлопок трапеция А-силуэт большие размеры</t>
        </is>
      </c>
      <c r="D603" t="inlineStr">
        <is>
          <t xml:space="preserve">SK62W01_хаки</t>
        </is>
      </c>
      <c r="E603" t="inlineStr">
        <is>
          <t xml:space="preserve">светлый хаки</t>
        </is>
      </c>
      <c r="F603" t="inlineStr">
        <is>
          <t xml:space="preserve">52</t>
        </is>
      </c>
      <c r="G603">
        <v>1</v>
      </c>
      <c r="H603" s="2">
        <v>21.0</v>
      </c>
      <c r="I603" t="inlineStr">
        <is>
          <t xml:space="preserve">хлопок</t>
        </is>
      </c>
      <c r="J603"/>
      <c r="K603" t="inlineStr">
        <is>
          <t xml:space="preserve">Бангладеш</t>
        </is>
      </c>
      <c r="L603" t="inlineStr">
        <is>
          <t xml:space="preserve">6204520000</t>
        </is>
      </c>
      <c r="M603" t="inlineStr">
        <is>
          <t xml:space="preserve">Декларация № ЕАЭС № BY/112 11.01. ТР017 122.01 08246, до 19.04.2028</t>
        </is>
      </c>
      <c r="N603" t="inlineStr">
        <is>
          <t xml:space="preserve">25 × 15 × 4</t>
        </is>
      </c>
      <c r="O603" t="inlineStr">
        <is>
          <t xml:space="preserve">0,22</t>
        </is>
      </c>
      <c r="P603" t="inlineStr">
        <is>
          <t xml:space="preserve">4816148183743</t>
        </is>
      </c>
      <c r="Q603" s="3" t="str">
        <f>HYPERLINK("https://modify.by/img/1134483279/1.webp","фото")</f>
        <v>фото</v>
      </c>
      <c r="R603" s="3" t="str">
        <f>HYPERLINK("https://modify.by/catalog/yubki/1134483279/?utm_source=price&amp;utm_medium=xlsx","открыть")</f>
        <v>открыть</v>
      </c>
    </row>
    <row r="604">
      <c r="A604" t="inlineStr">
        <is>
          <t xml:space="preserve">Женский</t>
        </is>
      </c>
      <c r="B604" t="inlineStr">
        <is>
          <t xml:space="preserve">Юбки</t>
        </is>
      </c>
      <c r="C604" t="inlineStr">
        <is>
          <t xml:space="preserve">Юбка миди в складку теплая больших размеров</t>
        </is>
      </c>
      <c r="D604" t="inlineStr">
        <is>
          <t xml:space="preserve">SK442W1черный,белый</t>
        </is>
      </c>
      <c r="E604" t="inlineStr">
        <is>
          <t xml:space="preserve">черный, белый</t>
        </is>
      </c>
      <c r="F604" t="inlineStr">
        <is>
          <t xml:space="preserve">54-56</t>
        </is>
      </c>
      <c r="G604">
        <v>3</v>
      </c>
      <c r="H604" s="2">
        <v>52.0</v>
      </c>
      <c r="I604" t="inlineStr">
        <is>
          <t xml:space="preserve">70% хлопок, 30% полиэстер</t>
        </is>
      </c>
      <c r="J604"/>
      <c r="K604" t="inlineStr">
        <is>
          <t xml:space="preserve">Турция</t>
        </is>
      </c>
      <c r="L604" t="inlineStr">
        <is>
          <t xml:space="preserve">6204520000</t>
        </is>
      </c>
      <c r="M604" t="inlineStr">
        <is>
          <t xml:space="preserve">по запросу</t>
        </is>
      </c>
      <c r="N604" t="inlineStr">
        <is>
          <t xml:space="preserve">35 × 33 × 2</t>
        </is>
      </c>
      <c r="O604" t="inlineStr">
        <is>
          <t xml:space="preserve">0,42</t>
        </is>
      </c>
      <c r="P604" t="inlineStr">
        <is>
          <t xml:space="preserve">4816148113047</t>
        </is>
      </c>
      <c r="Q604" s="3" t="str">
        <f>HYPERLINK("https://modify.by/img/248239025/1.webp","фото")</f>
        <v>фото</v>
      </c>
      <c r="R604" s="3" t="str">
        <f>HYPERLINK("https://modify.by/catalog/yubki/248239025/?utm_source=price&amp;utm_medium=xlsx","открыть")</f>
        <v>открыть</v>
      </c>
    </row>
    <row r="605">
      <c r="A605" t="inlineStr">
        <is>
          <t xml:space="preserve">Женский</t>
        </is>
      </c>
      <c r="B605" t="inlineStr">
        <is>
          <t xml:space="preserve">Юбки</t>
        </is>
      </c>
      <c r="C605" t="inlineStr">
        <is>
          <t xml:space="preserve">Юбка миди джинсовая с разрезом</t>
        </is>
      </c>
      <c r="D605" t="inlineStr">
        <is>
          <t xml:space="preserve">SK32W02серый</t>
        </is>
      </c>
      <c r="E605" t="inlineStr">
        <is>
          <t xml:space="preserve">серый</t>
        </is>
      </c>
      <c r="F605" t="inlineStr">
        <is>
          <t xml:space="preserve">46</t>
        </is>
      </c>
      <c r="G605">
        <v>1</v>
      </c>
      <c r="H605" s="2">
        <v>34.0</v>
      </c>
      <c r="I605" t="inlineStr">
        <is>
          <t xml:space="preserve">хлопок 100%</t>
        </is>
      </c>
      <c r="J605"/>
      <c r="K605" t="inlineStr">
        <is>
          <t xml:space="preserve">Бангладеш</t>
        </is>
      </c>
      <c r="L605" t="inlineStr">
        <is>
          <t xml:space="preserve">6204520000</t>
        </is>
      </c>
      <c r="M605" t="inlineStr">
        <is>
          <t xml:space="preserve">по запросу</t>
        </is>
      </c>
      <c r="N605" t="inlineStr">
        <is>
          <t xml:space="preserve">35 × 28 × 3</t>
        </is>
      </c>
      <c r="O605" t="inlineStr">
        <is>
          <t xml:space="preserve">0,5</t>
        </is>
      </c>
      <c r="P605" t="inlineStr">
        <is>
          <t xml:space="preserve">2038096191843</t>
        </is>
      </c>
      <c r="Q605" s="3" t="str">
        <f>HYPERLINK("https://modify.by/img/198237475/1.webp","фото")</f>
        <v>фото</v>
      </c>
      <c r="R605" s="3" t="str">
        <f>HYPERLINK("https://modify.by/catalog/yubki/198237475/?utm_source=price&amp;utm_medium=xlsx","открыть")</f>
        <v>открыть</v>
      </c>
    </row>
    <row r="606">
      <c r="A606" t="inlineStr">
        <is>
          <t xml:space="preserve">Женский</t>
        </is>
      </c>
      <c r="B606" t="inlineStr">
        <is>
          <t xml:space="preserve">Юбки</t>
        </is>
      </c>
      <c r="C606" t="inlineStr">
        <is>
          <t xml:space="preserve">Юбка миди джинсовая с разрезом</t>
        </is>
      </c>
      <c r="D606" t="inlineStr">
        <is>
          <t xml:space="preserve">SK32W02серый</t>
        </is>
      </c>
      <c r="E606" t="inlineStr">
        <is>
          <t xml:space="preserve">серый</t>
        </is>
      </c>
      <c r="F606" t="inlineStr">
        <is>
          <t xml:space="preserve">48</t>
        </is>
      </c>
      <c r="G606">
        <v>1</v>
      </c>
      <c r="H606" s="2">
        <v>34.0</v>
      </c>
      <c r="I606" t="inlineStr">
        <is>
          <t xml:space="preserve">хлопок 100%</t>
        </is>
      </c>
      <c r="J606"/>
      <c r="K606" t="inlineStr">
        <is>
          <t xml:space="preserve">Бангладеш</t>
        </is>
      </c>
      <c r="L606" t="inlineStr">
        <is>
          <t xml:space="preserve">6204520000</t>
        </is>
      </c>
      <c r="M606" t="inlineStr">
        <is>
          <t xml:space="preserve">по запросу</t>
        </is>
      </c>
      <c r="N606" t="inlineStr">
        <is>
          <t xml:space="preserve">35 × 28 × 3</t>
        </is>
      </c>
      <c r="O606" t="inlineStr">
        <is>
          <t xml:space="preserve">0,5</t>
        </is>
      </c>
      <c r="P606" t="inlineStr">
        <is>
          <t xml:space="preserve">2038096191850</t>
        </is>
      </c>
      <c r="Q606" s="3" t="str">
        <f>HYPERLINK("https://modify.by/img/198237475/1.webp","фото")</f>
        <v>фото</v>
      </c>
      <c r="R606" s="3" t="str">
        <f>HYPERLINK("https://modify.by/catalog/yubki/198237475/?utm_source=price&amp;utm_medium=xlsx","открыть")</f>
        <v>открыть</v>
      </c>
    </row>
    <row r="607">
      <c r="A607" t="inlineStr">
        <is>
          <t xml:space="preserve">Женский</t>
        </is>
      </c>
      <c r="B607" t="inlineStr">
        <is>
          <t xml:space="preserve">Юбки</t>
        </is>
      </c>
      <c r="C607" t="inlineStr">
        <is>
          <t xml:space="preserve">Юбка спортивная с шортами, черный, арт. SK12W02*Черный</t>
        </is>
      </c>
      <c r="D607" t="inlineStr">
        <is>
          <t xml:space="preserve">SK12W02*Черный</t>
        </is>
      </c>
      <c r="E607" t="inlineStr">
        <is>
          <t xml:space="preserve">черный</t>
        </is>
      </c>
      <c r="F607" t="inlineStr">
        <is>
          <t xml:space="preserve">52</t>
        </is>
      </c>
      <c r="G607">
        <v>1</v>
      </c>
      <c r="H607" s="2">
        <v>19.0</v>
      </c>
      <c r="I607" t="inlineStr">
        <is>
          <t xml:space="preserve">полиэстер, эластан</t>
        </is>
      </c>
      <c r="J607"/>
      <c r="K607" t="inlineStr">
        <is>
          <t xml:space="preserve">Бангладеш</t>
        </is>
      </c>
      <c r="L607" t="inlineStr">
        <is>
          <t xml:space="preserve">6104530000</t>
        </is>
      </c>
      <c r="M607" t="inlineStr">
        <is>
          <t xml:space="preserve">по запросу</t>
        </is>
      </c>
      <c r="N607"/>
      <c r="O607"/>
      <c r="P607" t="inlineStr">
        <is>
          <t xml:space="preserve">2004452842650</t>
        </is>
      </c>
      <c r="Q607" s="3" t="str">
        <f>HYPERLINK("https://modify.by/img/126778449/1.webp","фото")</f>
        <v>фото</v>
      </c>
      <c r="R607" s="3" t="str">
        <f>HYPERLINK("https://modify.by/catalog/yubki/126778449/?utm_source=price&amp;utm_medium=xlsx","открыть")</f>
        <v>открыть</v>
      </c>
    </row>
    <row r="608">
      <c r="A608" t="inlineStr">
        <is>
          <t xml:space="preserve">Женский</t>
        </is>
      </c>
      <c r="B608" t="inlineStr">
        <is>
          <t xml:space="preserve">Юбки</t>
        </is>
      </c>
      <c r="C608" t="inlineStr">
        <is>
          <t xml:space="preserve">юбка миди прозрачная кружево на резинке</t>
        </is>
      </c>
      <c r="D608" t="inlineStr">
        <is>
          <t xml:space="preserve">T3SK42W03белый</t>
        </is>
      </c>
      <c r="E608" t="inlineStr">
        <is>
          <t xml:space="preserve">белый</t>
        </is>
      </c>
      <c r="F608" t="inlineStr">
        <is>
          <t xml:space="preserve">42-48</t>
        </is>
      </c>
      <c r="G608">
        <v>1</v>
      </c>
      <c r="H608" s="2">
        <v>31.0</v>
      </c>
      <c r="I608" t="inlineStr">
        <is>
          <t xml:space="preserve">полиэстер 100%</t>
        </is>
      </c>
      <c r="J608"/>
      <c r="K608" t="inlineStr">
        <is>
          <t xml:space="preserve">Китай</t>
        </is>
      </c>
      <c r="L608" t="inlineStr">
        <is>
          <t xml:space="preserve">6104530000</t>
        </is>
      </c>
      <c r="M608" t="inlineStr">
        <is>
          <t xml:space="preserve">Декларация № ЕАЭС N RU Д-CN.РА02.В.44039/24, до 28.02.2029</t>
        </is>
      </c>
      <c r="N608" t="inlineStr">
        <is>
          <t xml:space="preserve">23 × 28 × 1</t>
        </is>
      </c>
      <c r="O608" t="inlineStr">
        <is>
          <t xml:space="preserve">0,25</t>
        </is>
      </c>
      <c r="P608" t="inlineStr">
        <is>
          <t xml:space="preserve">4816148106810</t>
        </is>
      </c>
      <c r="Q608" s="3" t="str">
        <f>HYPERLINK("https://modify.by/img/239188794/1.webp","фото")</f>
        <v>фото</v>
      </c>
      <c r="R608" s="3" t="str">
        <f>HYPERLINK("https://modify.by/catalog/yubki/239188794/?utm_source=price&amp;utm_medium=xlsx","открыть")</f>
        <v>открыть</v>
      </c>
    </row>
    <row r="609">
      <c r="A609" t="inlineStr">
        <is>
          <t xml:space="preserve">Мужской</t>
        </is>
      </c>
      <c r="B609" t="inlineStr">
        <is>
          <t xml:space="preserve">Бермуды</t>
        </is>
      </c>
      <c r="C609" t="inlineStr">
        <is>
          <t xml:space="preserve">Бермуды, серо-синий</t>
        </is>
      </c>
      <c r="D609" t="inlineStr">
        <is>
          <t xml:space="preserve">BE22M02Серо-синий</t>
        </is>
      </c>
      <c r="E609" t="inlineStr">
        <is>
          <t xml:space="preserve">серо-синий</t>
        </is>
      </c>
      <c r="F609" t="inlineStr">
        <is>
          <t xml:space="preserve">58</t>
        </is>
      </c>
      <c r="G609">
        <v>1</v>
      </c>
      <c r="H609" s="2">
        <v>29.0</v>
      </c>
      <c r="I609" t="inlineStr">
        <is>
          <t xml:space="preserve">хлопок 100%</t>
        </is>
      </c>
      <c r="J609" t="inlineStr">
        <is>
          <t xml:space="preserve">лето</t>
        </is>
      </c>
      <c r="K609" t="inlineStr">
        <is>
          <t xml:space="preserve">Бангладеш</t>
        </is>
      </c>
      <c r="L609" t="inlineStr">
        <is>
          <t xml:space="preserve">6203423100</t>
        </is>
      </c>
      <c r="M609" t="inlineStr">
        <is>
          <t xml:space="preserve">Декларация № ЕАЭС № BY/112 11.01. ТР017 122.01 08246, до 19.04.2028</t>
        </is>
      </c>
      <c r="N609" t="inlineStr">
        <is>
          <t xml:space="preserve">35 × 30 × 4</t>
        </is>
      </c>
      <c r="O609" t="inlineStr">
        <is>
          <t xml:space="preserve">0,6</t>
        </is>
      </c>
      <c r="P609" t="inlineStr">
        <is>
          <t xml:space="preserve">2016957071589</t>
        </is>
      </c>
      <c r="Q609" s="3" t="str">
        <f>HYPERLINK("https://modify.by/img/91105616/1.webp","фото")</f>
        <v>фото</v>
      </c>
      <c r="R609" s="3" t="str">
        <f>HYPERLINK("https://modify.by/catalog/bermudy/91105616/?utm_source=price&amp;utm_medium=xlsx","открыть")</f>
        <v>открыть</v>
      </c>
    </row>
    <row r="610">
      <c r="A610" t="inlineStr">
        <is>
          <t xml:space="preserve">Мужской</t>
        </is>
      </c>
      <c r="B610" t="inlineStr">
        <is>
          <t xml:space="preserve">Бермуды</t>
        </is>
      </c>
      <c r="C610" t="inlineStr">
        <is>
          <t xml:space="preserve">Бермуды, серо-синий</t>
        </is>
      </c>
      <c r="D610" t="inlineStr">
        <is>
          <t xml:space="preserve">BE22M02Серо-синий</t>
        </is>
      </c>
      <c r="E610" t="inlineStr">
        <is>
          <t xml:space="preserve">серо-синий</t>
        </is>
      </c>
      <c r="F610" t="inlineStr">
        <is>
          <t xml:space="preserve">58</t>
        </is>
      </c>
      <c r="G610">
        <v>1</v>
      </c>
      <c r="H610" s="2">
        <v>29.0</v>
      </c>
      <c r="I610" t="inlineStr">
        <is>
          <t xml:space="preserve">хлопок 100%</t>
        </is>
      </c>
      <c r="J610" t="inlineStr">
        <is>
          <t xml:space="preserve">лето</t>
        </is>
      </c>
      <c r="K610" t="inlineStr">
        <is>
          <t xml:space="preserve">Бангладеш</t>
        </is>
      </c>
      <c r="L610" t="inlineStr">
        <is>
          <t xml:space="preserve">6203423100</t>
        </is>
      </c>
      <c r="M610" t="inlineStr">
        <is>
          <t xml:space="preserve">Декларация № ЕАЭС № BY/112 11.01. ТР017 122.01 08246, до 19.04.2028</t>
        </is>
      </c>
      <c r="N610" t="inlineStr">
        <is>
          <t xml:space="preserve">35 × 30 × 4</t>
        </is>
      </c>
      <c r="O610" t="inlineStr">
        <is>
          <t xml:space="preserve">0,6</t>
        </is>
      </c>
      <c r="P610" t="inlineStr">
        <is>
          <t xml:space="preserve">4816148176967</t>
        </is>
      </c>
      <c r="Q610" s="3" t="str">
        <f>HYPERLINK("https://modify.by/img/91105616/1.webp","фото")</f>
        <v>фото</v>
      </c>
      <c r="R610" s="3" t="str">
        <f>HYPERLINK("https://modify.by/catalog/bermudy/91105616/?utm_source=price&amp;utm_medium=xlsx","открыть")</f>
        <v>открыть</v>
      </c>
    </row>
    <row r="611">
      <c r="A611" t="inlineStr">
        <is>
          <t xml:space="preserve">Мужской</t>
        </is>
      </c>
      <c r="B611" t="inlineStr">
        <is>
          <t xml:space="preserve">Бермуды</t>
        </is>
      </c>
      <c r="C611" t="inlineStr">
        <is>
          <t xml:space="preserve">Бермуды, синий</t>
        </is>
      </c>
      <c r="D611" t="inlineStr">
        <is>
          <t xml:space="preserve">BR91M3Синий</t>
        </is>
      </c>
      <c r="E611" t="inlineStr">
        <is>
          <t xml:space="preserve">синий</t>
        </is>
      </c>
      <c r="F611" t="inlineStr">
        <is>
          <t xml:space="preserve">46</t>
        </is>
      </c>
      <c r="G611">
        <v>2</v>
      </c>
      <c r="H611" s="2">
        <v>28.0</v>
      </c>
      <c r="I611" t="inlineStr">
        <is>
          <t xml:space="preserve">хлопок 100%</t>
        </is>
      </c>
      <c r="J611"/>
      <c r="K611" t="inlineStr">
        <is>
          <t xml:space="preserve">Бангладеш</t>
        </is>
      </c>
      <c r="L611" t="inlineStr">
        <is>
          <t xml:space="preserve">6203499000</t>
        </is>
      </c>
      <c r="M611" t="inlineStr">
        <is>
          <t xml:space="preserve">по запросу</t>
        </is>
      </c>
      <c r="N611"/>
      <c r="O611"/>
      <c r="P611" t="inlineStr">
        <is>
          <t xml:space="preserve">8595633627790</t>
        </is>
      </c>
      <c r="Q611" s="3" t="str">
        <f>HYPERLINK("https://modify.by/img/8329942/1.webp","фото")</f>
        <v>фото</v>
      </c>
      <c r="R611" s="3" t="str">
        <f>HYPERLINK("https://modify.by/catalog/bermudy/8329942/?utm_source=price&amp;utm_medium=xlsx","открыть")</f>
        <v>открыть</v>
      </c>
    </row>
    <row r="612">
      <c r="A612" t="inlineStr">
        <is>
          <t xml:space="preserve">Мужской</t>
        </is>
      </c>
      <c r="B612" t="inlineStr">
        <is>
          <t xml:space="preserve">Бермуды</t>
        </is>
      </c>
      <c r="C612" t="inlineStr">
        <is>
          <t xml:space="preserve">Бермуды, синий</t>
        </is>
      </c>
      <c r="D612" t="inlineStr">
        <is>
          <t xml:space="preserve">BR91M3Синий</t>
        </is>
      </c>
      <c r="E612" t="inlineStr">
        <is>
          <t xml:space="preserve">синий</t>
        </is>
      </c>
      <c r="F612" t="inlineStr">
        <is>
          <t xml:space="preserve">52</t>
        </is>
      </c>
      <c r="G612">
        <v>1</v>
      </c>
      <c r="H612" s="2">
        <v>28.0</v>
      </c>
      <c r="I612" t="inlineStr">
        <is>
          <t xml:space="preserve">хлопок 100%</t>
        </is>
      </c>
      <c r="J612"/>
      <c r="K612" t="inlineStr">
        <is>
          <t xml:space="preserve">Бангладеш</t>
        </is>
      </c>
      <c r="L612" t="inlineStr">
        <is>
          <t xml:space="preserve">6203499000</t>
        </is>
      </c>
      <c r="M612" t="inlineStr">
        <is>
          <t xml:space="preserve">по запросу</t>
        </is>
      </c>
      <c r="N612"/>
      <c r="O612"/>
      <c r="P612" t="inlineStr">
        <is>
          <t xml:space="preserve">8595633627820</t>
        </is>
      </c>
      <c r="Q612" s="3" t="str">
        <f>HYPERLINK("https://modify.by/img/8329942/1.webp","фото")</f>
        <v>фото</v>
      </c>
      <c r="R612" s="3" t="str">
        <f>HYPERLINK("https://modify.by/catalog/bermudy/8329942/?utm_source=price&amp;utm_medium=xlsx","открыть")</f>
        <v>открыть</v>
      </c>
    </row>
    <row r="613">
      <c r="A613" t="inlineStr">
        <is>
          <t xml:space="preserve">Мужской</t>
        </is>
      </c>
      <c r="B613" t="inlineStr">
        <is>
          <t xml:space="preserve">Бермуды</t>
        </is>
      </c>
      <c r="C613" t="inlineStr">
        <is>
          <t xml:space="preserve">Бермуды, темно-синий</t>
        </is>
      </c>
      <c r="D613" t="inlineStr">
        <is>
          <t xml:space="preserve">BR91M3Темно-синий</t>
        </is>
      </c>
      <c r="E613" t="inlineStr">
        <is>
          <t xml:space="preserve">темно-синий</t>
        </is>
      </c>
      <c r="F613" t="inlineStr">
        <is>
          <t xml:space="preserve">46</t>
        </is>
      </c>
      <c r="G613">
        <v>1</v>
      </c>
      <c r="H613" s="2">
        <v>28.0</v>
      </c>
      <c r="I613" t="inlineStr">
        <is>
          <t xml:space="preserve">хлопок 100%</t>
        </is>
      </c>
      <c r="J613"/>
      <c r="K613" t="inlineStr">
        <is>
          <t xml:space="preserve">Бангладеш</t>
        </is>
      </c>
      <c r="L613" t="inlineStr">
        <is>
          <t xml:space="preserve">6203499000</t>
        </is>
      </c>
      <c r="M613" t="inlineStr">
        <is>
          <t xml:space="preserve">по запросу</t>
        </is>
      </c>
      <c r="N613"/>
      <c r="O613"/>
      <c r="P613" t="inlineStr">
        <is>
          <t xml:space="preserve">8595633627554</t>
        </is>
      </c>
      <c r="Q613" s="3" t="str">
        <f>HYPERLINK("https://modify.by/img/8318195/1.webp","фото")</f>
        <v>фото</v>
      </c>
      <c r="R613" s="3" t="str">
        <f>HYPERLINK("https://modify.by/catalog/bermudy/8318195/?utm_source=price&amp;utm_medium=xlsx","открыть")</f>
        <v>открыть</v>
      </c>
    </row>
    <row r="614">
      <c r="A614" t="inlineStr">
        <is>
          <t xml:space="preserve">Мужской</t>
        </is>
      </c>
      <c r="B614" t="inlineStr">
        <is>
          <t xml:space="preserve">Бермуды</t>
        </is>
      </c>
      <c r="C614" t="inlineStr">
        <is>
          <t xml:space="preserve">Бермуды, темно-синий</t>
        </is>
      </c>
      <c r="D614" t="inlineStr">
        <is>
          <t xml:space="preserve">BR91M3Темно-синий</t>
        </is>
      </c>
      <c r="E614" t="inlineStr">
        <is>
          <t xml:space="preserve">темно-синий</t>
        </is>
      </c>
      <c r="F614" t="inlineStr">
        <is>
          <t xml:space="preserve">52</t>
        </is>
      </c>
      <c r="G614">
        <v>1</v>
      </c>
      <c r="H614" s="2">
        <v>28.0</v>
      </c>
      <c r="I614" t="inlineStr">
        <is>
          <t xml:space="preserve">хлопок 100%</t>
        </is>
      </c>
      <c r="J614"/>
      <c r="K614" t="inlineStr">
        <is>
          <t xml:space="preserve">Бангладеш</t>
        </is>
      </c>
      <c r="L614" t="inlineStr">
        <is>
          <t xml:space="preserve">6203499000</t>
        </is>
      </c>
      <c r="M614" t="inlineStr">
        <is>
          <t xml:space="preserve">по запросу</t>
        </is>
      </c>
      <c r="N614"/>
      <c r="O614"/>
      <c r="P614" t="inlineStr">
        <is>
          <t xml:space="preserve">8595633627561</t>
        </is>
      </c>
      <c r="Q614" s="3" t="str">
        <f>HYPERLINK("https://modify.by/img/8318195/1.webp","фото")</f>
        <v>фото</v>
      </c>
      <c r="R614" s="3" t="str">
        <f>HYPERLINK("https://modify.by/catalog/bermudy/8318195/?utm_source=price&amp;utm_medium=xlsx","открыть")</f>
        <v>открыть</v>
      </c>
    </row>
    <row r="615">
      <c r="A615" t="inlineStr">
        <is>
          <t xml:space="preserve">Мужской</t>
        </is>
      </c>
      <c r="B615" t="inlineStr">
        <is>
          <t xml:space="preserve">Бермуды</t>
        </is>
      </c>
      <c r="C615" t="inlineStr">
        <is>
          <t xml:space="preserve">Брючные шорты бермуды хлопковые</t>
        </is>
      </c>
      <c r="D615" t="inlineStr">
        <is>
          <t xml:space="preserve">BE22M04Серый</t>
        </is>
      </c>
      <c r="E615" t="inlineStr">
        <is>
          <t xml:space="preserve">серый</t>
        </is>
      </c>
      <c r="F615" t="inlineStr">
        <is>
          <t xml:space="preserve">54-56</t>
        </is>
      </c>
      <c r="G615">
        <v>5</v>
      </c>
      <c r="H615" s="2">
        <v>26.0</v>
      </c>
      <c r="I615" t="inlineStr">
        <is>
          <t xml:space="preserve">хлопок 100%</t>
        </is>
      </c>
      <c r="J615" t="inlineStr">
        <is>
          <t xml:space="preserve">лето</t>
        </is>
      </c>
      <c r="K615" t="inlineStr">
        <is>
          <t xml:space="preserve">Бангладеш</t>
        </is>
      </c>
      <c r="L615" t="inlineStr">
        <is>
          <t xml:space="preserve">6203429000</t>
        </is>
      </c>
      <c r="M615" t="inlineStr">
        <is>
          <t xml:space="preserve">Декларация № ЕАЭС № BY/112 11.01. ТР017 122.01 08246, до 19.04.2028</t>
        </is>
      </c>
      <c r="N615" t="inlineStr">
        <is>
          <t xml:space="preserve">35 × 30 × 3</t>
        </is>
      </c>
      <c r="O615" t="inlineStr">
        <is>
          <t xml:space="preserve">0,35</t>
        </is>
      </c>
      <c r="P615" t="inlineStr">
        <is>
          <t xml:space="preserve">2016957071510</t>
        </is>
      </c>
      <c r="Q615" s="3" t="str">
        <f>HYPERLINK("https://modify.by/img/91108958/1.webp","фото")</f>
        <v>фото</v>
      </c>
      <c r="R615" s="3" t="str">
        <f>HYPERLINK("https://modify.by/catalog/bermudy/91108958/?utm_source=price&amp;utm_medium=xlsx","открыть")</f>
        <v>открыть</v>
      </c>
    </row>
    <row r="616">
      <c r="A616" t="inlineStr">
        <is>
          <t xml:space="preserve">Мужской</t>
        </is>
      </c>
      <c r="B616" t="inlineStr">
        <is>
          <t xml:space="preserve">Бермуды</t>
        </is>
      </c>
      <c r="C616" t="inlineStr">
        <is>
          <t xml:space="preserve">Брючные шорты бермуды хлопковые</t>
        </is>
      </c>
      <c r="D616" t="inlineStr">
        <is>
          <t xml:space="preserve">BE22M04Серый</t>
        </is>
      </c>
      <c r="E616" t="inlineStr">
        <is>
          <t xml:space="preserve">серый</t>
        </is>
      </c>
      <c r="F616" t="inlineStr">
        <is>
          <t xml:space="preserve">54-56</t>
        </is>
      </c>
      <c r="G616">
        <v>5</v>
      </c>
      <c r="H616" s="2">
        <v>26.0</v>
      </c>
      <c r="I616" t="inlineStr">
        <is>
          <t xml:space="preserve">хлопок 100%</t>
        </is>
      </c>
      <c r="J616" t="inlineStr">
        <is>
          <t xml:space="preserve">лето</t>
        </is>
      </c>
      <c r="K616" t="inlineStr">
        <is>
          <t xml:space="preserve">Бангладеш</t>
        </is>
      </c>
      <c r="L616" t="inlineStr">
        <is>
          <t xml:space="preserve">6203429000</t>
        </is>
      </c>
      <c r="M616" t="inlineStr">
        <is>
          <t xml:space="preserve">Декларация № ЕАЭС № BY/112 11.01. ТР017 122.01 08246, до 19.04.2028</t>
        </is>
      </c>
      <c r="N616" t="inlineStr">
        <is>
          <t xml:space="preserve">35 × 30 × 3</t>
        </is>
      </c>
      <c r="O616" t="inlineStr">
        <is>
          <t xml:space="preserve">0,35</t>
        </is>
      </c>
      <c r="P616" t="inlineStr">
        <is>
          <t xml:space="preserve">4816148106995</t>
        </is>
      </c>
      <c r="Q616" s="3" t="str">
        <f>HYPERLINK("https://modify.by/img/91108958/1.webp","фото")</f>
        <v>фото</v>
      </c>
      <c r="R616" s="3" t="str">
        <f>HYPERLINK("https://modify.by/catalog/bermudy/91108958/?utm_source=price&amp;utm_medium=xlsx","открыть")</f>
        <v>открыть</v>
      </c>
    </row>
    <row r="617">
      <c r="A617" t="inlineStr">
        <is>
          <t xml:space="preserve">Мужской</t>
        </is>
      </c>
      <c r="B617" t="inlineStr">
        <is>
          <t xml:space="preserve">Бордшорты</t>
        </is>
      </c>
      <c r="C617" t="inlineStr">
        <is>
          <t xml:space="preserve">Шорты спортивные для плавания и отдыха быстросохнущие</t>
        </is>
      </c>
      <c r="D617" t="inlineStr">
        <is>
          <t xml:space="preserve">BS32M04черный</t>
        </is>
      </c>
      <c r="E617" t="inlineStr">
        <is>
          <t xml:space="preserve">черный</t>
        </is>
      </c>
      <c r="F617" t="inlineStr">
        <is>
          <t xml:space="preserve">44</t>
        </is>
      </c>
      <c r="G617">
        <v>1</v>
      </c>
      <c r="H617" s="2">
        <v>22.0</v>
      </c>
      <c r="I617" t="inlineStr">
        <is>
          <t xml:space="preserve">100% полиэстер</t>
        </is>
      </c>
      <c r="J617"/>
      <c r="K617" t="inlineStr">
        <is>
          <t xml:space="preserve">Бангладеш</t>
        </is>
      </c>
      <c r="L617" t="inlineStr">
        <is>
          <t xml:space="preserve">6112319000</t>
        </is>
      </c>
      <c r="M617" t="inlineStr">
        <is>
          <t xml:space="preserve">Декларация № ЕАЭС № BY/112 11.01. ТР017 122.01 08246, до 19.04.2028</t>
        </is>
      </c>
      <c r="N617" t="inlineStr">
        <is>
          <t xml:space="preserve">28 × 4 × 31</t>
        </is>
      </c>
      <c r="O617" t="inlineStr">
        <is>
          <t xml:space="preserve">0,2</t>
        </is>
      </c>
      <c r="P617" t="inlineStr">
        <is>
          <t xml:space="preserve">2038096198033</t>
        </is>
      </c>
      <c r="Q617" s="3" t="str">
        <f>HYPERLINK("https://modify.by/img/210814867/1.webp","фото")</f>
        <v>фото</v>
      </c>
      <c r="R617" s="3" t="str">
        <f>HYPERLINK("https://modify.by/catalog/bordshorty/210814867/?utm_source=price&amp;utm_medium=xlsx","открыть")</f>
        <v>открыть</v>
      </c>
    </row>
    <row r="618">
      <c r="A618" t="inlineStr">
        <is>
          <t xml:space="preserve">Мужской</t>
        </is>
      </c>
      <c r="B618" t="inlineStr">
        <is>
          <t xml:space="preserve">Бордшорты</t>
        </is>
      </c>
      <c r="C618" t="inlineStr">
        <is>
          <t xml:space="preserve">Шорты спортивные для плавания и отдыха быстросохнущие</t>
        </is>
      </c>
      <c r="D618" t="inlineStr">
        <is>
          <t xml:space="preserve">BS32M04черный</t>
        </is>
      </c>
      <c r="E618" t="inlineStr">
        <is>
          <t xml:space="preserve">черный</t>
        </is>
      </c>
      <c r="F618" t="inlineStr">
        <is>
          <t xml:space="preserve">44</t>
        </is>
      </c>
      <c r="G618">
        <v>1</v>
      </c>
      <c r="H618" s="2">
        <v>22.0</v>
      </c>
      <c r="I618" t="inlineStr">
        <is>
          <t xml:space="preserve">100% полиэстер</t>
        </is>
      </c>
      <c r="J618"/>
      <c r="K618" t="inlineStr">
        <is>
          <t xml:space="preserve">Бангладеш</t>
        </is>
      </c>
      <c r="L618" t="inlineStr">
        <is>
          <t xml:space="preserve">6112319000</t>
        </is>
      </c>
      <c r="M618" t="inlineStr">
        <is>
          <t xml:space="preserve">Декларация № ЕАЭС № BY/112 11.01. ТР017 122.01 08246, до 19.04.2028</t>
        </is>
      </c>
      <c r="N618" t="inlineStr">
        <is>
          <t xml:space="preserve">28 × 4 × 31</t>
        </is>
      </c>
      <c r="O618" t="inlineStr">
        <is>
          <t xml:space="preserve">0,2</t>
        </is>
      </c>
      <c r="P618" t="inlineStr">
        <is>
          <t xml:space="preserve">4816148130990</t>
        </is>
      </c>
      <c r="Q618" s="3" t="str">
        <f>HYPERLINK("https://modify.by/img/210814867/1.webp","фото")</f>
        <v>фото</v>
      </c>
      <c r="R618" s="3" t="str">
        <f>HYPERLINK("https://modify.by/catalog/bordshorty/210814867/?utm_source=price&amp;utm_medium=xlsx","открыть")</f>
        <v>открыть</v>
      </c>
    </row>
    <row r="619">
      <c r="A619" t="inlineStr">
        <is>
          <t xml:space="preserve">Мужской</t>
        </is>
      </c>
      <c r="B619" t="inlineStr">
        <is>
          <t xml:space="preserve">Бордшорты</t>
        </is>
      </c>
      <c r="C619" t="inlineStr">
        <is>
          <t xml:space="preserve">Шорты спортивные для плавания и отдыха быстросохнущие</t>
        </is>
      </c>
      <c r="D619" t="inlineStr">
        <is>
          <t xml:space="preserve">BS32M04черный</t>
        </is>
      </c>
      <c r="E619" t="inlineStr">
        <is>
          <t xml:space="preserve">черный</t>
        </is>
      </c>
      <c r="F619" t="inlineStr">
        <is>
          <t xml:space="preserve">48</t>
        </is>
      </c>
      <c r="G619">
        <v>2</v>
      </c>
      <c r="H619" s="2">
        <v>22.0</v>
      </c>
      <c r="I619" t="inlineStr">
        <is>
          <t xml:space="preserve">100% полиэстер</t>
        </is>
      </c>
      <c r="J619"/>
      <c r="K619" t="inlineStr">
        <is>
          <t xml:space="preserve">Бангладеш</t>
        </is>
      </c>
      <c r="L619" t="inlineStr">
        <is>
          <t xml:space="preserve">6112319000</t>
        </is>
      </c>
      <c r="M619" t="inlineStr">
        <is>
          <t xml:space="preserve">Декларация № ЕАЭС № BY/112 11.01. ТР017 122.01 08246, до 19.04.2028</t>
        </is>
      </c>
      <c r="N619" t="inlineStr">
        <is>
          <t xml:space="preserve">28 × 4 × 31</t>
        </is>
      </c>
      <c r="O619" t="inlineStr">
        <is>
          <t xml:space="preserve">0,2</t>
        </is>
      </c>
      <c r="P619" t="inlineStr">
        <is>
          <t xml:space="preserve">2038096198057</t>
        </is>
      </c>
      <c r="Q619" s="3" t="str">
        <f>HYPERLINK("https://modify.by/img/210814867/1.webp","фото")</f>
        <v>фото</v>
      </c>
      <c r="R619" s="3" t="str">
        <f>HYPERLINK("https://modify.by/catalog/bordshorty/210814867/?utm_source=price&amp;utm_medium=xlsx","открыть")</f>
        <v>открыть</v>
      </c>
    </row>
    <row r="620">
      <c r="A620" t="inlineStr">
        <is>
          <t xml:space="preserve">Мужской</t>
        </is>
      </c>
      <c r="B620" t="inlineStr">
        <is>
          <t xml:space="preserve">Бордшорты</t>
        </is>
      </c>
      <c r="C620" t="inlineStr">
        <is>
          <t xml:space="preserve">Шорты спортивные для плавания и отдыха быстросохнущие</t>
        </is>
      </c>
      <c r="D620" t="inlineStr">
        <is>
          <t xml:space="preserve">BS32M04черный</t>
        </is>
      </c>
      <c r="E620" t="inlineStr">
        <is>
          <t xml:space="preserve">черный</t>
        </is>
      </c>
      <c r="F620" t="inlineStr">
        <is>
          <t xml:space="preserve">48</t>
        </is>
      </c>
      <c r="G620">
        <v>2</v>
      </c>
      <c r="H620" s="2">
        <v>22.0</v>
      </c>
      <c r="I620" t="inlineStr">
        <is>
          <t xml:space="preserve">100% полиэстер</t>
        </is>
      </c>
      <c r="J620"/>
      <c r="K620" t="inlineStr">
        <is>
          <t xml:space="preserve">Бангладеш</t>
        </is>
      </c>
      <c r="L620" t="inlineStr">
        <is>
          <t xml:space="preserve">6112319000</t>
        </is>
      </c>
      <c r="M620" t="inlineStr">
        <is>
          <t xml:space="preserve">Декларация № ЕАЭС № BY/112 11.01. ТР017 122.01 08246, до 19.04.2028</t>
        </is>
      </c>
      <c r="N620" t="inlineStr">
        <is>
          <t xml:space="preserve">28 × 4 × 31</t>
        </is>
      </c>
      <c r="O620" t="inlineStr">
        <is>
          <t xml:space="preserve">0,2</t>
        </is>
      </c>
      <c r="P620" t="inlineStr">
        <is>
          <t xml:space="preserve">4816148131010</t>
        </is>
      </c>
      <c r="Q620" s="3" t="str">
        <f>HYPERLINK("https://modify.by/img/210814867/1.webp","фото")</f>
        <v>фото</v>
      </c>
      <c r="R620" s="3" t="str">
        <f>HYPERLINK("https://modify.by/catalog/bordshorty/210814867/?utm_source=price&amp;utm_medium=xlsx","открыть")</f>
        <v>открыть</v>
      </c>
    </row>
    <row r="621">
      <c r="A621" t="inlineStr">
        <is>
          <t xml:space="preserve">Мужской</t>
        </is>
      </c>
      <c r="B621" t="inlineStr">
        <is>
          <t xml:space="preserve">Бордшорты</t>
        </is>
      </c>
      <c r="C621" t="inlineStr">
        <is>
          <t xml:space="preserve">Шорты спортивные для плавания и отдыха быстросохнущие</t>
        </is>
      </c>
      <c r="D621" t="inlineStr">
        <is>
          <t xml:space="preserve">BS32M04черный</t>
        </is>
      </c>
      <c r="E621" t="inlineStr">
        <is>
          <t xml:space="preserve">черный</t>
        </is>
      </c>
      <c r="F621" t="inlineStr">
        <is>
          <t xml:space="preserve">50</t>
        </is>
      </c>
      <c r="G621">
        <v>1</v>
      </c>
      <c r="H621" s="2">
        <v>22.0</v>
      </c>
      <c r="I621" t="inlineStr">
        <is>
          <t xml:space="preserve">100% полиэстер</t>
        </is>
      </c>
      <c r="J621"/>
      <c r="K621" t="inlineStr">
        <is>
          <t xml:space="preserve">Бангладеш</t>
        </is>
      </c>
      <c r="L621" t="inlineStr">
        <is>
          <t xml:space="preserve">6112319000</t>
        </is>
      </c>
      <c r="M621" t="inlineStr">
        <is>
          <t xml:space="preserve">Декларация № ЕАЭС № BY/112 11.01. ТР017 122.01 08246, до 19.04.2028</t>
        </is>
      </c>
      <c r="N621" t="inlineStr">
        <is>
          <t xml:space="preserve">28 × 4 × 31</t>
        </is>
      </c>
      <c r="O621" t="inlineStr">
        <is>
          <t xml:space="preserve">0,2</t>
        </is>
      </c>
      <c r="P621" t="inlineStr">
        <is>
          <t xml:space="preserve">2038096198064</t>
        </is>
      </c>
      <c r="Q621" s="3" t="str">
        <f>HYPERLINK("https://modify.by/img/210814867/1.webp","фото")</f>
        <v>фото</v>
      </c>
      <c r="R621" s="3" t="str">
        <f>HYPERLINK("https://modify.by/catalog/bordshorty/210814867/?utm_source=price&amp;utm_medium=xlsx","открыть")</f>
        <v>открыть</v>
      </c>
    </row>
    <row r="622">
      <c r="A622" t="inlineStr">
        <is>
          <t xml:space="preserve">Мужской</t>
        </is>
      </c>
      <c r="B622" t="inlineStr">
        <is>
          <t xml:space="preserve">Бордшорты</t>
        </is>
      </c>
      <c r="C622" t="inlineStr">
        <is>
          <t xml:space="preserve">Шорты спортивные для плавания и отдыха быстросохнущие</t>
        </is>
      </c>
      <c r="D622" t="inlineStr">
        <is>
          <t xml:space="preserve">BS32M04черный</t>
        </is>
      </c>
      <c r="E622" t="inlineStr">
        <is>
          <t xml:space="preserve">черный</t>
        </is>
      </c>
      <c r="F622" t="inlineStr">
        <is>
          <t xml:space="preserve">50</t>
        </is>
      </c>
      <c r="G622">
        <v>1</v>
      </c>
      <c r="H622" s="2">
        <v>22.0</v>
      </c>
      <c r="I622" t="inlineStr">
        <is>
          <t xml:space="preserve">100% полиэстер</t>
        </is>
      </c>
      <c r="J622"/>
      <c r="K622" t="inlineStr">
        <is>
          <t xml:space="preserve">Бангладеш</t>
        </is>
      </c>
      <c r="L622" t="inlineStr">
        <is>
          <t xml:space="preserve">6112319000</t>
        </is>
      </c>
      <c r="M622" t="inlineStr">
        <is>
          <t xml:space="preserve">Декларация № ЕАЭС № BY/112 11.01. ТР017 122.01 08246, до 19.04.2028</t>
        </is>
      </c>
      <c r="N622" t="inlineStr">
        <is>
          <t xml:space="preserve">28 × 4 × 31</t>
        </is>
      </c>
      <c r="O622" t="inlineStr">
        <is>
          <t xml:space="preserve">0,2</t>
        </is>
      </c>
      <c r="P622" t="inlineStr">
        <is>
          <t xml:space="preserve">4816148131027</t>
        </is>
      </c>
      <c r="Q622" s="3" t="str">
        <f>HYPERLINK("https://modify.by/img/210814867/1.webp","фото")</f>
        <v>фото</v>
      </c>
      <c r="R622" s="3" t="str">
        <f>HYPERLINK("https://modify.by/catalog/bordshorty/210814867/?utm_source=price&amp;utm_medium=xlsx","открыть")</f>
        <v>открыть</v>
      </c>
    </row>
    <row r="623">
      <c r="A623" t="inlineStr">
        <is>
          <t xml:space="preserve">Мужской</t>
        </is>
      </c>
      <c r="B623" t="inlineStr">
        <is>
          <t xml:space="preserve">Бордшорты</t>
        </is>
      </c>
      <c r="C623" t="inlineStr">
        <is>
          <t xml:space="preserve">Шорты спортивные для плавания и отдыха быстросохнущие</t>
        </is>
      </c>
      <c r="D623" t="inlineStr">
        <is>
          <t xml:space="preserve">BS32M04черный</t>
        </is>
      </c>
      <c r="E623" t="inlineStr">
        <is>
          <t xml:space="preserve">черный</t>
        </is>
      </c>
      <c r="F623" t="inlineStr">
        <is>
          <t xml:space="preserve">52</t>
        </is>
      </c>
      <c r="G623">
        <v>2</v>
      </c>
      <c r="H623" s="2">
        <v>22.0</v>
      </c>
      <c r="I623" t="inlineStr">
        <is>
          <t xml:space="preserve">100% полиэстер</t>
        </is>
      </c>
      <c r="J623"/>
      <c r="K623" t="inlineStr">
        <is>
          <t xml:space="preserve">Бангладеш</t>
        </is>
      </c>
      <c r="L623" t="inlineStr">
        <is>
          <t xml:space="preserve">6112319000</t>
        </is>
      </c>
      <c r="M623" t="inlineStr">
        <is>
          <t xml:space="preserve">Декларация № ЕАЭС № BY/112 11.01. ТР017 122.01 08246, до 19.04.2028</t>
        </is>
      </c>
      <c r="N623" t="inlineStr">
        <is>
          <t xml:space="preserve">28 × 4 × 31</t>
        </is>
      </c>
      <c r="O623" t="inlineStr">
        <is>
          <t xml:space="preserve">0,2</t>
        </is>
      </c>
      <c r="P623" t="inlineStr">
        <is>
          <t xml:space="preserve">2038096198071</t>
        </is>
      </c>
      <c r="Q623" s="3" t="str">
        <f>HYPERLINK("https://modify.by/img/210814867/1.webp","фото")</f>
        <v>фото</v>
      </c>
      <c r="R623" s="3" t="str">
        <f>HYPERLINK("https://modify.by/catalog/bordshorty/210814867/?utm_source=price&amp;utm_medium=xlsx","открыть")</f>
        <v>открыть</v>
      </c>
    </row>
    <row r="624">
      <c r="A624" t="inlineStr">
        <is>
          <t xml:space="preserve">Мужской</t>
        </is>
      </c>
      <c r="B624" t="inlineStr">
        <is>
          <t xml:space="preserve">Бордшорты</t>
        </is>
      </c>
      <c r="C624" t="inlineStr">
        <is>
          <t xml:space="preserve">Шорты спортивные для плавания и отдыха быстросохнущие</t>
        </is>
      </c>
      <c r="D624" t="inlineStr">
        <is>
          <t xml:space="preserve">BS32M04черный</t>
        </is>
      </c>
      <c r="E624" t="inlineStr">
        <is>
          <t xml:space="preserve">черный</t>
        </is>
      </c>
      <c r="F624" t="inlineStr">
        <is>
          <t xml:space="preserve">52</t>
        </is>
      </c>
      <c r="G624">
        <v>2</v>
      </c>
      <c r="H624" s="2">
        <v>22.0</v>
      </c>
      <c r="I624" t="inlineStr">
        <is>
          <t xml:space="preserve">100% полиэстер</t>
        </is>
      </c>
      <c r="J624"/>
      <c r="K624" t="inlineStr">
        <is>
          <t xml:space="preserve">Бангладеш</t>
        </is>
      </c>
      <c r="L624" t="inlineStr">
        <is>
          <t xml:space="preserve">6112319000</t>
        </is>
      </c>
      <c r="M624" t="inlineStr">
        <is>
          <t xml:space="preserve">Декларация № ЕАЭС № BY/112 11.01. ТР017 122.01 08246, до 19.04.2028</t>
        </is>
      </c>
      <c r="N624" t="inlineStr">
        <is>
          <t xml:space="preserve">28 × 4 × 31</t>
        </is>
      </c>
      <c r="O624" t="inlineStr">
        <is>
          <t xml:space="preserve">0,2</t>
        </is>
      </c>
      <c r="P624" t="inlineStr">
        <is>
          <t xml:space="preserve">4816148131034</t>
        </is>
      </c>
      <c r="Q624" s="3" t="str">
        <f>HYPERLINK("https://modify.by/img/210814867/1.webp","фото")</f>
        <v>фото</v>
      </c>
      <c r="R624" s="3" t="str">
        <f>HYPERLINK("https://modify.by/catalog/bordshorty/210814867/?utm_source=price&amp;utm_medium=xlsx","открыть")</f>
        <v>открыть</v>
      </c>
    </row>
    <row r="625">
      <c r="A625" t="inlineStr">
        <is>
          <t xml:space="preserve">Мужской</t>
        </is>
      </c>
      <c r="B625" t="inlineStr">
        <is>
          <t xml:space="preserve">Бриджи</t>
        </is>
      </c>
      <c r="C625" t="inlineStr">
        <is>
          <t xml:space="preserve">Шорты быстросохнущие</t>
        </is>
      </c>
      <c r="D625" t="inlineStr">
        <is>
          <t xml:space="preserve">T3BE52M03серый</t>
        </is>
      </c>
      <c r="E625" t="inlineStr">
        <is>
          <t xml:space="preserve">светло-серый</t>
        </is>
      </c>
      <c r="F625" t="inlineStr">
        <is>
          <t xml:space="preserve">50</t>
        </is>
      </c>
      <c r="G625">
        <v>1</v>
      </c>
      <c r="H625" s="2">
        <v>15.0</v>
      </c>
      <c r="I625" t="inlineStr">
        <is>
          <t xml:space="preserve">хлопок, вискоза</t>
        </is>
      </c>
      <c r="J625"/>
      <c r="K625" t="inlineStr">
        <is>
          <t xml:space="preserve">Бермуды</t>
        </is>
      </c>
      <c r="L625" t="inlineStr">
        <is>
          <t xml:space="preserve">6103420001</t>
        </is>
      </c>
      <c r="M625" t="inlineStr">
        <is>
          <t xml:space="preserve">Декларация № ЕАЭС N RU Д-CN.РА02.В.44039/24, до 28.02.2029</t>
        </is>
      </c>
      <c r="N625" t="inlineStr">
        <is>
          <t xml:space="preserve">27 × 22 × 2</t>
        </is>
      </c>
      <c r="O625" t="inlineStr">
        <is>
          <t xml:space="preserve">0,36</t>
        </is>
      </c>
      <c r="P625" t="inlineStr">
        <is>
          <t xml:space="preserve">4816148168153</t>
        </is>
      </c>
      <c r="Q625" s="3" t="str">
        <f>HYPERLINK("https://modify.by/img/443484292/1.webp","фото")</f>
        <v>фото</v>
      </c>
      <c r="R625" s="3" t="str">
        <f>HYPERLINK("https://modify.by/catalog/bridzhi/443484292/?utm_source=price&amp;utm_medium=xlsx","открыть")</f>
        <v>открыть</v>
      </c>
    </row>
    <row r="626">
      <c r="A626" t="inlineStr">
        <is>
          <t xml:space="preserve">Мужской</t>
        </is>
      </c>
      <c r="B626" t="inlineStr">
        <is>
          <t xml:space="preserve">Бриджи</t>
        </is>
      </c>
      <c r="C626" t="inlineStr">
        <is>
          <t xml:space="preserve">Шорты длинные быстросохнущие</t>
        </is>
      </c>
      <c r="D626" t="inlineStr">
        <is>
          <t xml:space="preserve">T3BE52M03черный</t>
        </is>
      </c>
      <c r="E626" t="inlineStr">
        <is>
          <t xml:space="preserve">черный</t>
        </is>
      </c>
      <c r="F626" t="inlineStr">
        <is>
          <t xml:space="preserve">50</t>
        </is>
      </c>
      <c r="G626">
        <v>1</v>
      </c>
      <c r="H626" s="2">
        <v>15.0</v>
      </c>
      <c r="I626" t="inlineStr">
        <is>
          <t xml:space="preserve">хлопок, вискоза</t>
        </is>
      </c>
      <c r="J626"/>
      <c r="K626" t="inlineStr">
        <is>
          <t xml:space="preserve">Бермуды</t>
        </is>
      </c>
      <c r="L626" t="inlineStr">
        <is>
          <t xml:space="preserve">6103430001</t>
        </is>
      </c>
      <c r="M626" t="inlineStr">
        <is>
          <t xml:space="preserve">Декларация № ЕАЭС N RU Д-CN.РА02.В.44039/24, до 28.02.2029</t>
        </is>
      </c>
      <c r="N626" t="inlineStr">
        <is>
          <t xml:space="preserve">27 × 22 × 2</t>
        </is>
      </c>
      <c r="O626" t="inlineStr">
        <is>
          <t xml:space="preserve">0,36</t>
        </is>
      </c>
      <c r="P626" t="inlineStr">
        <is>
          <t xml:space="preserve">4816148168146</t>
        </is>
      </c>
      <c r="Q626" s="3" t="str">
        <f>HYPERLINK("https://modify.by/img/443485839/1.webp","фото")</f>
        <v>фото</v>
      </c>
      <c r="R626" s="3" t="str">
        <f>HYPERLINK("https://modify.by/catalog/bridzhi/443485839/?utm_source=price&amp;utm_medium=xlsx","открыть")</f>
        <v>открыть</v>
      </c>
    </row>
    <row r="627">
      <c r="A627" t="inlineStr">
        <is>
          <t xml:space="preserve">Мужской</t>
        </is>
      </c>
      <c r="B627" t="inlineStr">
        <is>
          <t xml:space="preserve">Брюки</t>
        </is>
      </c>
      <c r="C627" t="inlineStr">
        <is>
          <t xml:space="preserve">STUBBORN Брюки чинос</t>
        </is>
      </c>
      <c r="D627" t="inlineStr">
        <is>
          <t xml:space="preserve">CH02M5Песочный</t>
        </is>
      </c>
      <c r="E627" t="inlineStr">
        <is>
          <t xml:space="preserve">песочный</t>
        </is>
      </c>
      <c r="F627" t="inlineStr">
        <is>
          <t xml:space="preserve">42</t>
        </is>
      </c>
      <c r="G627">
        <v>1</v>
      </c>
      <c r="H627" s="2">
        <v>39.0</v>
      </c>
      <c r="I627" t="inlineStr">
        <is>
          <t xml:space="preserve">хлопок, эластан</t>
        </is>
      </c>
      <c r="J627" t="inlineStr">
        <is>
          <t xml:space="preserve">лето</t>
        </is>
      </c>
      <c r="K627" t="inlineStr">
        <is>
          <t xml:space="preserve">Бангладеш</t>
        </is>
      </c>
      <c r="L627" t="inlineStr">
        <is>
          <t xml:space="preserve">6203411000</t>
        </is>
      </c>
      <c r="M627" t="inlineStr">
        <is>
          <t xml:space="preserve">по запросу</t>
        </is>
      </c>
      <c r="N627"/>
      <c r="O627"/>
      <c r="P627" t="inlineStr">
        <is>
          <t xml:space="preserve">8595633683444</t>
        </is>
      </c>
      <c r="Q627" s="3" t="str">
        <f>HYPERLINK("https://modify.by/img/21406632/1.webp","фото")</f>
        <v>фото</v>
      </c>
      <c r="R627" s="3" t="str">
        <f>HYPERLINK("https://modify.by/catalog/bryuki/21406632/?utm_source=price&amp;utm_medium=xlsx","открыть")</f>
        <v>открыть</v>
      </c>
    </row>
    <row r="628">
      <c r="A628" t="inlineStr">
        <is>
          <t xml:space="preserve">Мужской</t>
        </is>
      </c>
      <c r="B628" t="inlineStr">
        <is>
          <t xml:space="preserve">Брюки</t>
        </is>
      </c>
      <c r="C628" t="inlineStr">
        <is>
          <t xml:space="preserve">Брюки белые джинсы</t>
        </is>
      </c>
      <c r="D628" t="inlineStr">
        <is>
          <t xml:space="preserve">T3JE52M02белый</t>
        </is>
      </c>
      <c r="E628" t="inlineStr">
        <is>
          <t xml:space="preserve">белый</t>
        </is>
      </c>
      <c r="F628" t="inlineStr">
        <is>
          <t xml:space="preserve">48</t>
        </is>
      </c>
      <c r="G628">
        <v>1</v>
      </c>
      <c r="H628" s="2">
        <v>44.0</v>
      </c>
      <c r="I628" t="inlineStr">
        <is>
          <t xml:space="preserve">70% полиэстер, 30% хлопок</t>
        </is>
      </c>
      <c r="J628" t="inlineStr">
        <is>
          <t xml:space="preserve">демисезон</t>
        </is>
      </c>
      <c r="K628" t="inlineStr">
        <is>
          <t xml:space="preserve">Китай</t>
        </is>
      </c>
      <c r="L628" t="inlineStr">
        <is>
          <t xml:space="preserve">6203431900</t>
        </is>
      </c>
      <c r="M628" t="inlineStr">
        <is>
          <t xml:space="preserve">Декларация № ЕАЭС N RU Д-CN.РА02.В.44039/24, до 28.02.2029</t>
        </is>
      </c>
      <c r="N628" t="inlineStr">
        <is>
          <t xml:space="preserve">35 × 28 × 3</t>
        </is>
      </c>
      <c r="O628" t="inlineStr">
        <is>
          <t xml:space="preserve">0,5</t>
        </is>
      </c>
      <c r="P628" t="inlineStr">
        <is>
          <t xml:space="preserve">4816148167811</t>
        </is>
      </c>
      <c r="Q628" s="3" t="str">
        <f>HYPERLINK("https://modify.by/img/441152113/1.webp","фото")</f>
        <v>фото</v>
      </c>
      <c r="R628" s="3" t="str">
        <f>HYPERLINK("https://modify.by/catalog/bryuki/441152113/?utm_source=price&amp;utm_medium=xlsx","открыть")</f>
        <v>открыть</v>
      </c>
    </row>
    <row r="629">
      <c r="A629" t="inlineStr">
        <is>
          <t xml:space="preserve">Мужской</t>
        </is>
      </c>
      <c r="B629" t="inlineStr">
        <is>
          <t xml:space="preserve">Брюки</t>
        </is>
      </c>
      <c r="C629" t="inlineStr">
        <is>
          <t xml:space="preserve">Брюки карго джоггеры</t>
        </is>
      </c>
      <c r="D629" t="inlineStr">
        <is>
          <t xml:space="preserve">T3PA42W01черный</t>
        </is>
      </c>
      <c r="E629" t="inlineStr">
        <is>
          <t xml:space="preserve">черный</t>
        </is>
      </c>
      <c r="F629" t="inlineStr">
        <is>
          <t xml:space="preserve">42</t>
        </is>
      </c>
      <c r="G629">
        <v>3</v>
      </c>
      <c r="H629" s="2">
        <v>44.0</v>
      </c>
      <c r="I629" t="inlineStr">
        <is>
          <t xml:space="preserve">полиэстер</t>
        </is>
      </c>
      <c r="J629" t="inlineStr">
        <is>
          <t xml:space="preserve">Демисезон</t>
        </is>
      </c>
      <c r="K629" t="inlineStr">
        <is>
          <t xml:space="preserve">Китай</t>
        </is>
      </c>
      <c r="L629" t="inlineStr">
        <is>
          <t xml:space="preserve">6104690001</t>
        </is>
      </c>
      <c r="M629" t="inlineStr">
        <is>
          <t xml:space="preserve">Декларация № ЕАЭС N RU Д-CN.РА02.В.44039/24, до 28.02.2029</t>
        </is>
      </c>
      <c r="N629" t="inlineStr">
        <is>
          <t xml:space="preserve">38 × 30 × 4</t>
        </is>
      </c>
      <c r="O629" t="inlineStr">
        <is>
          <t xml:space="preserve">0,45</t>
        </is>
      </c>
      <c r="P629" t="inlineStr">
        <is>
          <t xml:space="preserve">4816148107534</t>
        </is>
      </c>
      <c r="Q629" s="3" t="str">
        <f>HYPERLINK("https://modify.by/img/243416899/1.webp","фото")</f>
        <v>фото</v>
      </c>
      <c r="R629" s="3" t="str">
        <f>HYPERLINK("https://modify.by/catalog/bryuki/243416899/?utm_source=price&amp;utm_medium=xlsx","открыть")</f>
        <v>открыть</v>
      </c>
    </row>
    <row r="630">
      <c r="A630" t="inlineStr">
        <is>
          <t xml:space="preserve">Мужской</t>
        </is>
      </c>
      <c r="B630" t="inlineStr">
        <is>
          <t xml:space="preserve">Брюки</t>
        </is>
      </c>
      <c r="C630" t="inlineStr">
        <is>
          <t xml:space="preserve">Брюки класические офис шерсть</t>
        </is>
      </c>
      <c r="D630" t="inlineStr">
        <is>
          <t xml:space="preserve">PA32M07серый меланж</t>
        </is>
      </c>
      <c r="E630" t="inlineStr">
        <is>
          <t xml:space="preserve">серый меланж</t>
        </is>
      </c>
      <c r="F630" t="inlineStr">
        <is>
          <t xml:space="preserve">56/182</t>
        </is>
      </c>
      <c r="G630">
        <v>1</v>
      </c>
      <c r="H630" s="2">
        <v>59.0</v>
      </c>
      <c r="I630" t="inlineStr">
        <is>
          <t xml:space="preserve">50% шерсть, 50% полиэстер</t>
        </is>
      </c>
      <c r="J630"/>
      <c r="K630"/>
      <c r="L630" t="inlineStr">
        <is>
          <t xml:space="preserve">6203411000</t>
        </is>
      </c>
      <c r="M630" t="inlineStr">
        <is>
          <t xml:space="preserve">по запросу</t>
        </is>
      </c>
      <c r="N630"/>
      <c r="O630"/>
      <c r="P630" t="inlineStr">
        <is>
          <t xml:space="preserve">2038096184913</t>
        </is>
      </c>
      <c r="Q630"/>
      <c r="R630" s="3" t="str">
        <f>HYPERLINK("https://modify.by/catalog/bryuki/200358028/?utm_source=price&amp;utm_medium=xlsx","открыть")</f>
        <v>открыть</v>
      </c>
    </row>
    <row r="631">
      <c r="A631" t="inlineStr">
        <is>
          <t xml:space="preserve">Мужской</t>
        </is>
      </c>
      <c r="B631" t="inlineStr">
        <is>
          <t xml:space="preserve">Брюки</t>
        </is>
      </c>
      <c r="C631" t="inlineStr">
        <is>
          <t xml:space="preserve">Брюки классические в клетку</t>
        </is>
      </c>
      <c r="D631" t="inlineStr">
        <is>
          <t xml:space="preserve">PA52M01Синий,белый</t>
        </is>
      </c>
      <c r="E631" t="inlineStr">
        <is>
          <t xml:space="preserve">голубой меланж, бежевый лайт, серый</t>
        </is>
      </c>
      <c r="F631" t="inlineStr">
        <is>
          <t xml:space="preserve">46</t>
        </is>
      </c>
      <c r="G631">
        <v>18</v>
      </c>
      <c r="H631" s="2">
        <v>47.0</v>
      </c>
      <c r="I631" t="inlineStr">
        <is>
          <t xml:space="preserve">Брюки мужские классические в клетку 70% полиэстер, 27% вискоза, 3% эластан, штаны мужские в клетку, штаны в клетку мужские, брюки классические мужские, слаксы…</t>
        </is>
      </c>
      <c r="J631" t="inlineStr">
        <is>
          <t xml:space="preserve">демисезон</t>
        </is>
      </c>
      <c r="K631" t="inlineStr">
        <is>
          <t xml:space="preserve">Бангладеш</t>
        </is>
      </c>
      <c r="L631" t="inlineStr">
        <is>
          <t xml:space="preserve">6203431900</t>
        </is>
      </c>
      <c r="M631" t="inlineStr">
        <is>
          <t xml:space="preserve">Декларация № ЕАЭС № BY/112 11.01. ТР017 122.01 08246, до 19.04.2028</t>
        </is>
      </c>
      <c r="N631" t="inlineStr">
        <is>
          <t xml:space="preserve">36 × 30 × 2</t>
        </is>
      </c>
      <c r="O631" t="inlineStr">
        <is>
          <t xml:space="preserve">0,4</t>
        </is>
      </c>
      <c r="P631" t="inlineStr">
        <is>
          <t xml:space="preserve">4816148157850</t>
        </is>
      </c>
      <c r="Q631" s="3" t="str">
        <f>HYPERLINK("https://modify.by/img/348649981/1.webp","фото")</f>
        <v>фото</v>
      </c>
      <c r="R631" s="3" t="str">
        <f>HYPERLINK("https://modify.by/catalog/bryuki/348649981/?utm_source=price&amp;utm_medium=xlsx","открыть")</f>
        <v>открыть</v>
      </c>
    </row>
    <row r="632">
      <c r="A632" t="inlineStr">
        <is>
          <t xml:space="preserve">Мужской</t>
        </is>
      </c>
      <c r="B632" t="inlineStr">
        <is>
          <t xml:space="preserve">Брюки</t>
        </is>
      </c>
      <c r="C632" t="inlineStr">
        <is>
          <t xml:space="preserve">Брюки классические в клетку</t>
        </is>
      </c>
      <c r="D632" t="inlineStr">
        <is>
          <t xml:space="preserve">PA52M01Синий,белый</t>
        </is>
      </c>
      <c r="E632" t="inlineStr">
        <is>
          <t xml:space="preserve">голубой меланж, бежевый лайт, серый</t>
        </is>
      </c>
      <c r="F632" t="inlineStr">
        <is>
          <t xml:space="preserve">48</t>
        </is>
      </c>
      <c r="G632">
        <v>27</v>
      </c>
      <c r="H632" s="2">
        <v>47.0</v>
      </c>
      <c r="I632" t="inlineStr">
        <is>
          <t xml:space="preserve">Брюки мужские классические в клетку 70% полиэстер, 27% вискоза, 3% эластан, штаны мужские в клетку, штаны в клетку мужские, брюки классические мужские, слаксы…</t>
        </is>
      </c>
      <c r="J632" t="inlineStr">
        <is>
          <t xml:space="preserve">демисезон</t>
        </is>
      </c>
      <c r="K632" t="inlineStr">
        <is>
          <t xml:space="preserve">Бангладеш</t>
        </is>
      </c>
      <c r="L632" t="inlineStr">
        <is>
          <t xml:space="preserve">6203431900</t>
        </is>
      </c>
      <c r="M632" t="inlineStr">
        <is>
          <t xml:space="preserve">Декларация № ЕАЭС № BY/112 11.01. ТР017 122.01 08246, до 19.04.2028</t>
        </is>
      </c>
      <c r="N632" t="inlineStr">
        <is>
          <t xml:space="preserve">36 × 30 × 2</t>
        </is>
      </c>
      <c r="O632" t="inlineStr">
        <is>
          <t xml:space="preserve">0,4</t>
        </is>
      </c>
      <c r="P632" t="inlineStr">
        <is>
          <t xml:space="preserve">4816148157867</t>
        </is>
      </c>
      <c r="Q632" s="3" t="str">
        <f>HYPERLINK("https://modify.by/img/348649981/1.webp","фото")</f>
        <v>фото</v>
      </c>
      <c r="R632" s="3" t="str">
        <f>HYPERLINK("https://modify.by/catalog/bryuki/348649981/?utm_source=price&amp;utm_medium=xlsx","открыть")</f>
        <v>открыть</v>
      </c>
    </row>
    <row r="633">
      <c r="A633" t="inlineStr">
        <is>
          <t xml:space="preserve">Мужской</t>
        </is>
      </c>
      <c r="B633" t="inlineStr">
        <is>
          <t xml:space="preserve">Брюки</t>
        </is>
      </c>
      <c r="C633" t="inlineStr">
        <is>
          <t xml:space="preserve">Брюки хлопковые классические чиносы, бежевый</t>
        </is>
      </c>
      <c r="D633" t="inlineStr">
        <is>
          <t xml:space="preserve">CH12M02**Бежевый</t>
        </is>
      </c>
      <c r="E633" t="inlineStr">
        <is>
          <t xml:space="preserve">бежевый</t>
        </is>
      </c>
      <c r="F633" t="inlineStr">
        <is>
          <t xml:space="preserve">48</t>
        </is>
      </c>
      <c r="G633">
        <v>1</v>
      </c>
      <c r="H633" s="2">
        <v>37.0</v>
      </c>
      <c r="I633" t="inlineStr">
        <is>
          <t xml:space="preserve">Хлопок 98%, Эластан 2%</t>
        </is>
      </c>
      <c r="J633" t="inlineStr">
        <is>
          <t xml:space="preserve">круглогодичный</t>
        </is>
      </c>
      <c r="K633" t="inlineStr">
        <is>
          <t xml:space="preserve">Бангладеш</t>
        </is>
      </c>
      <c r="L633" t="inlineStr">
        <is>
          <t xml:space="preserve">6203411000</t>
        </is>
      </c>
      <c r="M633" t="inlineStr">
        <is>
          <t xml:space="preserve">по запросу</t>
        </is>
      </c>
      <c r="N633" t="inlineStr">
        <is>
          <t xml:space="preserve">2 × 30 × 35</t>
        </is>
      </c>
      <c r="O633" t="inlineStr">
        <is>
          <t xml:space="preserve">0,8</t>
        </is>
      </c>
      <c r="P633" t="inlineStr">
        <is>
          <t xml:space="preserve">2004570323628</t>
        </is>
      </c>
      <c r="Q633" s="3" t="str">
        <f>HYPERLINK("https://modify.by/img/60841394/1.webp","фото")</f>
        <v>фото</v>
      </c>
      <c r="R633" s="3" t="str">
        <f>HYPERLINK("https://modify.by/catalog/bryuki/60841394/?utm_source=price&amp;utm_medium=xlsx","открыть")</f>
        <v>открыть</v>
      </c>
    </row>
    <row r="634">
      <c r="A634" t="inlineStr">
        <is>
          <t xml:space="preserve">Мужской</t>
        </is>
      </c>
      <c r="B634" t="inlineStr">
        <is>
          <t xml:space="preserve">Брюки</t>
        </is>
      </c>
      <c r="C634" t="inlineStr">
        <is>
          <t xml:space="preserve">Брюки хлопковые классические чиносы, молочный</t>
        </is>
      </c>
      <c r="D634" t="inlineStr">
        <is>
          <t xml:space="preserve">CH12M02**Молочный</t>
        </is>
      </c>
      <c r="E634" t="inlineStr">
        <is>
          <t xml:space="preserve">молочный</t>
        </is>
      </c>
      <c r="F634" t="inlineStr">
        <is>
          <t xml:space="preserve">50</t>
        </is>
      </c>
      <c r="G634">
        <v>4</v>
      </c>
      <c r="H634" s="2">
        <v>37.0</v>
      </c>
      <c r="I634" t="inlineStr">
        <is>
          <t xml:space="preserve">Хлопок 98%, Эластан 2%</t>
        </is>
      </c>
      <c r="J634" t="inlineStr">
        <is>
          <t xml:space="preserve">круглогодичный</t>
        </is>
      </c>
      <c r="K634" t="inlineStr">
        <is>
          <t xml:space="preserve">Бангладеш</t>
        </is>
      </c>
      <c r="L634" t="inlineStr">
        <is>
          <t xml:space="preserve">6203411000</t>
        </is>
      </c>
      <c r="M634" t="inlineStr">
        <is>
          <t xml:space="preserve">Декларация № ЕАЭС № BY/112 11.01. ТР017 122.01 08246, до 19.04.2028</t>
        </is>
      </c>
      <c r="N634" t="inlineStr">
        <is>
          <t xml:space="preserve">2 × 30 × 35</t>
        </is>
      </c>
      <c r="O634" t="inlineStr">
        <is>
          <t xml:space="preserve">0,8</t>
        </is>
      </c>
      <c r="P634" t="inlineStr">
        <is>
          <t xml:space="preserve">2004570323659</t>
        </is>
      </c>
      <c r="Q634" s="3" t="str">
        <f>HYPERLINK("https://modify.by/img/60841395/1.webp","фото")</f>
        <v>фото</v>
      </c>
      <c r="R634" s="3" t="str">
        <f>HYPERLINK("https://modify.by/catalog/bryuki/60841395/?utm_source=price&amp;utm_medium=xlsx","открыть")</f>
        <v>открыть</v>
      </c>
    </row>
    <row r="635">
      <c r="A635" t="inlineStr">
        <is>
          <t xml:space="preserve">Мужской</t>
        </is>
      </c>
      <c r="B635" t="inlineStr">
        <is>
          <t xml:space="preserve">Брюки</t>
        </is>
      </c>
      <c r="C635" t="inlineStr">
        <is>
          <t xml:space="preserve">Брюки хлопковые классические чиносы, молочный</t>
        </is>
      </c>
      <c r="D635" t="inlineStr">
        <is>
          <t xml:space="preserve">CH12M02**Молочный</t>
        </is>
      </c>
      <c r="E635" t="inlineStr">
        <is>
          <t xml:space="preserve">молочный</t>
        </is>
      </c>
      <c r="F635" t="inlineStr">
        <is>
          <t xml:space="preserve">50</t>
        </is>
      </c>
      <c r="G635">
        <v>4</v>
      </c>
      <c r="H635" s="2">
        <v>37.0</v>
      </c>
      <c r="I635" t="inlineStr">
        <is>
          <t xml:space="preserve">Хлопок 98%, Эластан 2%</t>
        </is>
      </c>
      <c r="J635" t="inlineStr">
        <is>
          <t xml:space="preserve">круглогодичный</t>
        </is>
      </c>
      <c r="K635" t="inlineStr">
        <is>
          <t xml:space="preserve">Бангладеш</t>
        </is>
      </c>
      <c r="L635" t="inlineStr">
        <is>
          <t xml:space="preserve">6203411000</t>
        </is>
      </c>
      <c r="M635" t="inlineStr">
        <is>
          <t xml:space="preserve">Декларация № ЕАЭС № BY/112 11.01. ТР017 122.01 08246, до 19.04.2028</t>
        </is>
      </c>
      <c r="N635" t="inlineStr">
        <is>
          <t xml:space="preserve">2 × 30 × 35</t>
        </is>
      </c>
      <c r="O635" t="inlineStr">
        <is>
          <t xml:space="preserve">0,8</t>
        </is>
      </c>
      <c r="P635" t="inlineStr">
        <is>
          <t xml:space="preserve">4816148177759</t>
        </is>
      </c>
      <c r="Q635" s="3" t="str">
        <f>HYPERLINK("https://modify.by/img/60841395/1.webp","фото")</f>
        <v>фото</v>
      </c>
      <c r="R635" s="3" t="str">
        <f>HYPERLINK("https://modify.by/catalog/bryuki/60841395/?utm_source=price&amp;utm_medium=xlsx","открыть")</f>
        <v>открыть</v>
      </c>
    </row>
    <row r="636">
      <c r="A636" t="inlineStr">
        <is>
          <t xml:space="preserve">Мужской</t>
        </is>
      </c>
      <c r="B636" t="inlineStr">
        <is>
          <t xml:space="preserve">Брюки</t>
        </is>
      </c>
      <c r="C636" t="inlineStr">
        <is>
          <t xml:space="preserve">Брюки хлопковые классические чиносы, серо-голубой</t>
        </is>
      </c>
      <c r="D636" t="inlineStr">
        <is>
          <t xml:space="preserve">CH12M02**Серо-голубой</t>
        </is>
      </c>
      <c r="E636" t="inlineStr">
        <is>
          <t xml:space="preserve">серо-голубой</t>
        </is>
      </c>
      <c r="F636" t="inlineStr">
        <is>
          <t xml:space="preserve">46</t>
        </is>
      </c>
      <c r="G636">
        <v>3</v>
      </c>
      <c r="H636" s="2">
        <v>37.0</v>
      </c>
      <c r="I636" t="inlineStr">
        <is>
          <t xml:space="preserve">Хлопок 98%, Эластан 2%</t>
        </is>
      </c>
      <c r="J636" t="inlineStr">
        <is>
          <t xml:space="preserve">круглогодичный</t>
        </is>
      </c>
      <c r="K636" t="inlineStr">
        <is>
          <t xml:space="preserve">Бангладеш</t>
        </is>
      </c>
      <c r="L636" t="inlineStr">
        <is>
          <t xml:space="preserve">6203411000</t>
        </is>
      </c>
      <c r="M636" t="inlineStr">
        <is>
          <t xml:space="preserve">Декларация № ЕАЭС № BY/112 11.01. ТР017 122.01 08246, до 19.04.2028</t>
        </is>
      </c>
      <c r="N636" t="inlineStr">
        <is>
          <t xml:space="preserve">2 × 30 × 35</t>
        </is>
      </c>
      <c r="O636" t="inlineStr">
        <is>
          <t xml:space="preserve">0,8</t>
        </is>
      </c>
      <c r="P636" t="inlineStr">
        <is>
          <t xml:space="preserve">2004570323550</t>
        </is>
      </c>
      <c r="Q636" s="3" t="str">
        <f>HYPERLINK("https://modify.by/img/60841396/1.webp","фото")</f>
        <v>фото</v>
      </c>
      <c r="R636" s="3" t="str">
        <f>HYPERLINK("https://modify.by/catalog/bryuki/60841396/?utm_source=price&amp;utm_medium=xlsx","открыть")</f>
        <v>открыть</v>
      </c>
    </row>
    <row r="637">
      <c r="A637" t="inlineStr">
        <is>
          <t xml:space="preserve">Мужской</t>
        </is>
      </c>
      <c r="B637" t="inlineStr">
        <is>
          <t xml:space="preserve">Брюки</t>
        </is>
      </c>
      <c r="C637" t="inlineStr">
        <is>
          <t xml:space="preserve">Брюки хлопковые классические чиносы, серо-голубой</t>
        </is>
      </c>
      <c r="D637" t="inlineStr">
        <is>
          <t xml:space="preserve">CH12M02**Серо-голубой</t>
        </is>
      </c>
      <c r="E637" t="inlineStr">
        <is>
          <t xml:space="preserve">серо-голубой</t>
        </is>
      </c>
      <c r="F637" t="inlineStr">
        <is>
          <t xml:space="preserve">46</t>
        </is>
      </c>
      <c r="G637">
        <v>3</v>
      </c>
      <c r="H637" s="2">
        <v>37.0</v>
      </c>
      <c r="I637" t="inlineStr">
        <is>
          <t xml:space="preserve">Хлопок 98%, Эластан 2%</t>
        </is>
      </c>
      <c r="J637" t="inlineStr">
        <is>
          <t xml:space="preserve">круглогодичный</t>
        </is>
      </c>
      <c r="K637" t="inlineStr">
        <is>
          <t xml:space="preserve">Бангладеш</t>
        </is>
      </c>
      <c r="L637" t="inlineStr">
        <is>
          <t xml:space="preserve">6203411000</t>
        </is>
      </c>
      <c r="M637" t="inlineStr">
        <is>
          <t xml:space="preserve">Декларация № ЕАЭС № BY/112 11.01. ТР017 122.01 08246, до 19.04.2028</t>
        </is>
      </c>
      <c r="N637" t="inlineStr">
        <is>
          <t xml:space="preserve">2 × 30 × 35</t>
        </is>
      </c>
      <c r="O637" t="inlineStr">
        <is>
          <t xml:space="preserve">0,8</t>
        </is>
      </c>
      <c r="P637" t="inlineStr">
        <is>
          <t xml:space="preserve">4816148177766</t>
        </is>
      </c>
      <c r="Q637" s="3" t="str">
        <f>HYPERLINK("https://modify.by/img/60841396/1.webp","фото")</f>
        <v>фото</v>
      </c>
      <c r="R637" s="3" t="str">
        <f>HYPERLINK("https://modify.by/catalog/bryuki/60841396/?utm_source=price&amp;utm_medium=xlsx","открыть")</f>
        <v>открыть</v>
      </c>
    </row>
    <row r="638">
      <c r="A638" t="inlineStr">
        <is>
          <t xml:space="preserve">Мужской</t>
        </is>
      </c>
      <c r="B638" t="inlineStr">
        <is>
          <t xml:space="preserve">Брюки</t>
        </is>
      </c>
      <c r="C638" t="inlineStr">
        <is>
          <t xml:space="preserve">Брюки хлопковые классические чиносы, синий</t>
        </is>
      </c>
      <c r="D638" t="inlineStr">
        <is>
          <t xml:space="preserve">CH12M02**Синий</t>
        </is>
      </c>
      <c r="E638" t="inlineStr">
        <is>
          <t xml:space="preserve">синий</t>
        </is>
      </c>
      <c r="F638" t="inlineStr">
        <is>
          <t xml:space="preserve">52</t>
        </is>
      </c>
      <c r="G638">
        <v>1</v>
      </c>
      <c r="H638" s="2">
        <v>37.0</v>
      </c>
      <c r="I638" t="inlineStr">
        <is>
          <t xml:space="preserve">Хлопок 98%, Эластан 2%</t>
        </is>
      </c>
      <c r="J638" t="inlineStr">
        <is>
          <t xml:space="preserve">круглогодичный</t>
        </is>
      </c>
      <c r="K638" t="inlineStr">
        <is>
          <t xml:space="preserve">Бангладеш</t>
        </is>
      </c>
      <c r="L638" t="inlineStr">
        <is>
          <t xml:space="preserve">6203411000</t>
        </is>
      </c>
      <c r="M638" t="inlineStr">
        <is>
          <t xml:space="preserve">по запросу</t>
        </is>
      </c>
      <c r="N638" t="inlineStr">
        <is>
          <t xml:space="preserve">2 × 30 × 35</t>
        </is>
      </c>
      <c r="O638" t="inlineStr">
        <is>
          <t xml:space="preserve">0,8</t>
        </is>
      </c>
      <c r="P638" t="inlineStr">
        <is>
          <t xml:space="preserve">2004570323567</t>
        </is>
      </c>
      <c r="Q638" s="3" t="str">
        <f>HYPERLINK("https://modify.by/img/60841397/1.webp","фото")</f>
        <v>фото</v>
      </c>
      <c r="R638" s="3" t="str">
        <f>HYPERLINK("https://modify.by/catalog/bryuki/60841397/?utm_source=price&amp;utm_medium=xlsx","открыть")</f>
        <v>открыть</v>
      </c>
    </row>
    <row r="639">
      <c r="A639" t="inlineStr">
        <is>
          <t xml:space="preserve">Мужской</t>
        </is>
      </c>
      <c r="B639" t="inlineStr">
        <is>
          <t xml:space="preserve">Брюки</t>
        </is>
      </c>
      <c r="C639" t="inlineStr">
        <is>
          <t xml:space="preserve">Брюки чинос</t>
        </is>
      </c>
      <c r="D639" t="inlineStr">
        <is>
          <t xml:space="preserve">CH22M021*Молочный</t>
        </is>
      </c>
      <c r="E639" t="inlineStr">
        <is>
          <t xml:space="preserve">молочный</t>
        </is>
      </c>
      <c r="F639" t="inlineStr">
        <is>
          <t xml:space="preserve">44/46-182</t>
        </is>
      </c>
      <c r="G639">
        <v>1</v>
      </c>
      <c r="H639" s="2">
        <v>33.0</v>
      </c>
      <c r="I639" t="inlineStr">
        <is>
          <t xml:space="preserve">100% хлопок</t>
        </is>
      </c>
      <c r="J639" t="inlineStr">
        <is>
          <t xml:space="preserve">Круглогодичный</t>
        </is>
      </c>
      <c r="K639" t="inlineStr">
        <is>
          <t xml:space="preserve">Бангладеш</t>
        </is>
      </c>
      <c r="L639" t="inlineStr">
        <is>
          <t xml:space="preserve">6203423500</t>
        </is>
      </c>
      <c r="M639" t="inlineStr">
        <is>
          <t xml:space="preserve">по запросу</t>
        </is>
      </c>
      <c r="N639"/>
      <c r="O639"/>
      <c r="P639" t="inlineStr">
        <is>
          <t xml:space="preserve">2016957035086</t>
        </is>
      </c>
      <c r="Q639" s="3" t="str">
        <f>HYPERLINK("https://modify.by/img/97205020/1.webp","фото")</f>
        <v>фото</v>
      </c>
      <c r="R639" s="3" t="str">
        <f>HYPERLINK("https://modify.by/catalog/bryuki/97205020/?utm_source=price&amp;utm_medium=xlsx","открыть")</f>
        <v>открыть</v>
      </c>
    </row>
    <row r="640">
      <c r="A640" t="inlineStr">
        <is>
          <t xml:space="preserve">Мужской</t>
        </is>
      </c>
      <c r="B640" t="inlineStr">
        <is>
          <t xml:space="preserve">Брюки</t>
        </is>
      </c>
      <c r="C640" t="inlineStr">
        <is>
          <t xml:space="preserve">Брюки чиносы классические прямые хлопок 100%, серо-бежевый светлый</t>
        </is>
      </c>
      <c r="D640" t="inlineStr">
        <is>
          <t xml:space="preserve">PA42M02бежевый</t>
        </is>
      </c>
      <c r="E640" t="inlineStr">
        <is>
          <t xml:space="preserve">серо-бежевый светлый</t>
        </is>
      </c>
      <c r="F640" t="inlineStr">
        <is>
          <t xml:space="preserve">48</t>
        </is>
      </c>
      <c r="G640">
        <v>6</v>
      </c>
      <c r="H640" s="2">
        <v>47.0</v>
      </c>
      <c r="I640" t="inlineStr">
        <is>
          <t xml:space="preserve">хлопок</t>
        </is>
      </c>
      <c r="J640" t="inlineStr">
        <is>
          <t xml:space="preserve">Демисезон</t>
        </is>
      </c>
      <c r="K640" t="inlineStr">
        <is>
          <t xml:space="preserve">Бангладеш</t>
        </is>
      </c>
      <c r="L640" t="inlineStr">
        <is>
          <t xml:space="preserve">6203423500</t>
        </is>
      </c>
      <c r="M640" t="inlineStr">
        <is>
          <t xml:space="preserve">Декларация № ЕАЭС № BY/112 11.01. ТР017 122.01 08246, до 19.04.2028</t>
        </is>
      </c>
      <c r="N640" t="inlineStr">
        <is>
          <t xml:space="preserve">28 × 37 × 2</t>
        </is>
      </c>
      <c r="O640" t="inlineStr">
        <is>
          <t xml:space="preserve">0,45</t>
        </is>
      </c>
      <c r="P640" t="inlineStr">
        <is>
          <t xml:space="preserve">4816148109767</t>
        </is>
      </c>
      <c r="Q640" s="3" t="str">
        <f>HYPERLINK("https://modify.by/img/243771055/1.webp","фото")</f>
        <v>фото</v>
      </c>
      <c r="R640" s="3" t="str">
        <f>HYPERLINK("https://modify.by/catalog/bryuki/243771055/?utm_source=price&amp;utm_medium=xlsx","открыть")</f>
        <v>открыть</v>
      </c>
    </row>
    <row r="641">
      <c r="A641" t="inlineStr">
        <is>
          <t xml:space="preserve">Мужской</t>
        </is>
      </c>
      <c r="B641" t="inlineStr">
        <is>
          <t xml:space="preserve">Брюки</t>
        </is>
      </c>
      <c r="C641" t="inlineStr">
        <is>
          <t xml:space="preserve">Брюки чиносы классические прямые хлопок 100%, серо-бежевый светлый</t>
        </is>
      </c>
      <c r="D641" t="inlineStr">
        <is>
          <t xml:space="preserve">PA42M02бежевый</t>
        </is>
      </c>
      <c r="E641" t="inlineStr">
        <is>
          <t xml:space="preserve">серо-бежевый светлый</t>
        </is>
      </c>
      <c r="F641" t="inlineStr">
        <is>
          <t xml:space="preserve">50</t>
        </is>
      </c>
      <c r="G641">
        <v>43</v>
      </c>
      <c r="H641" s="2">
        <v>47.0</v>
      </c>
      <c r="I641" t="inlineStr">
        <is>
          <t xml:space="preserve">хлопок</t>
        </is>
      </c>
      <c r="J641" t="inlineStr">
        <is>
          <t xml:space="preserve">Демисезон</t>
        </is>
      </c>
      <c r="K641" t="inlineStr">
        <is>
          <t xml:space="preserve">Бангладеш</t>
        </is>
      </c>
      <c r="L641" t="inlineStr">
        <is>
          <t xml:space="preserve">6203423500</t>
        </is>
      </c>
      <c r="M641" t="inlineStr">
        <is>
          <t xml:space="preserve">Декларация № ЕАЭС № BY/112 11.01. ТР017 122.01 08246, до 19.04.2028</t>
        </is>
      </c>
      <c r="N641" t="inlineStr">
        <is>
          <t xml:space="preserve">28 × 37 × 2</t>
        </is>
      </c>
      <c r="O641" t="inlineStr">
        <is>
          <t xml:space="preserve">0,45</t>
        </is>
      </c>
      <c r="P641" t="inlineStr">
        <is>
          <t xml:space="preserve">4816148109774</t>
        </is>
      </c>
      <c r="Q641" s="3" t="str">
        <f>HYPERLINK("https://modify.by/img/243771055/1.webp","фото")</f>
        <v>фото</v>
      </c>
      <c r="R641" s="3" t="str">
        <f>HYPERLINK("https://modify.by/catalog/bryuki/243771055/?utm_source=price&amp;utm_medium=xlsx","открыть")</f>
        <v>открыть</v>
      </c>
    </row>
    <row r="642">
      <c r="A642" t="inlineStr">
        <is>
          <t xml:space="preserve">Мужской</t>
        </is>
      </c>
      <c r="B642" t="inlineStr">
        <is>
          <t xml:space="preserve">Брюки</t>
        </is>
      </c>
      <c r="C642" t="inlineStr">
        <is>
          <t xml:space="preserve">Брюки чиносы классические прямые хлопок 100%, серо-бежевый светлый</t>
        </is>
      </c>
      <c r="D642" t="inlineStr">
        <is>
          <t xml:space="preserve">PA42M02бежевый</t>
        </is>
      </c>
      <c r="E642" t="inlineStr">
        <is>
          <t xml:space="preserve">серо-бежевый светлый</t>
        </is>
      </c>
      <c r="F642" t="inlineStr">
        <is>
          <t xml:space="preserve">52</t>
        </is>
      </c>
      <c r="G642">
        <v>28</v>
      </c>
      <c r="H642" s="2">
        <v>47.0</v>
      </c>
      <c r="I642" t="inlineStr">
        <is>
          <t xml:space="preserve">хлопок</t>
        </is>
      </c>
      <c r="J642" t="inlineStr">
        <is>
          <t xml:space="preserve">Демисезон</t>
        </is>
      </c>
      <c r="K642" t="inlineStr">
        <is>
          <t xml:space="preserve">Бангладеш</t>
        </is>
      </c>
      <c r="L642" t="inlineStr">
        <is>
          <t xml:space="preserve">6203423500</t>
        </is>
      </c>
      <c r="M642" t="inlineStr">
        <is>
          <t xml:space="preserve">Декларация № ЕАЭС № BY/112 11.01. ТР017 122.01 08246, до 19.04.2028</t>
        </is>
      </c>
      <c r="N642" t="inlineStr">
        <is>
          <t xml:space="preserve">28 × 37 × 2</t>
        </is>
      </c>
      <c r="O642" t="inlineStr">
        <is>
          <t xml:space="preserve">0,45</t>
        </is>
      </c>
      <c r="P642" t="inlineStr">
        <is>
          <t xml:space="preserve">4816148109781</t>
        </is>
      </c>
      <c r="Q642" s="3" t="str">
        <f>HYPERLINK("https://modify.by/img/243771055/1.webp","фото")</f>
        <v>фото</v>
      </c>
      <c r="R642" s="3" t="str">
        <f>HYPERLINK("https://modify.by/catalog/bryuki/243771055/?utm_source=price&amp;utm_medium=xlsx","открыть")</f>
        <v>открыть</v>
      </c>
    </row>
    <row r="643">
      <c r="A643" t="inlineStr">
        <is>
          <t xml:space="preserve">Мужской</t>
        </is>
      </c>
      <c r="B643" t="inlineStr">
        <is>
          <t xml:space="preserve">Брюки</t>
        </is>
      </c>
      <c r="C643" t="inlineStr">
        <is>
          <t xml:space="preserve">Брюки чиносы классические прямые хлопок 100%, серый</t>
        </is>
      </c>
      <c r="D643" t="inlineStr">
        <is>
          <t xml:space="preserve">PA42M02серый</t>
        </is>
      </c>
      <c r="E643" t="inlineStr">
        <is>
          <t xml:space="preserve">серый</t>
        </is>
      </c>
      <c r="F643" t="inlineStr">
        <is>
          <t xml:space="preserve">48</t>
        </is>
      </c>
      <c r="G643">
        <v>9</v>
      </c>
      <c r="H643" s="2">
        <v>47.0</v>
      </c>
      <c r="I643" t="inlineStr">
        <is>
          <t xml:space="preserve">хлопок 100%</t>
        </is>
      </c>
      <c r="J643" t="inlineStr">
        <is>
          <t xml:space="preserve">Демисезон</t>
        </is>
      </c>
      <c r="K643" t="inlineStr">
        <is>
          <t xml:space="preserve">Бангладеш</t>
        </is>
      </c>
      <c r="L643" t="inlineStr">
        <is>
          <t xml:space="preserve">6203423500</t>
        </is>
      </c>
      <c r="M643" t="inlineStr">
        <is>
          <t xml:space="preserve">Декларация № ЕАЭС № BY/112 11.01. ТР017 122.01 08246, до 19.04.2028</t>
        </is>
      </c>
      <c r="N643" t="inlineStr">
        <is>
          <t xml:space="preserve">31 × 36 × 2</t>
        </is>
      </c>
      <c r="O643" t="inlineStr">
        <is>
          <t xml:space="preserve">0,45</t>
        </is>
      </c>
      <c r="P643" t="inlineStr">
        <is>
          <t xml:space="preserve">4816148109842</t>
        </is>
      </c>
      <c r="Q643" s="3" t="str">
        <f>HYPERLINK("https://modify.by/img/243771058/1.webp","фото")</f>
        <v>фото</v>
      </c>
      <c r="R643" s="3" t="str">
        <f>HYPERLINK("https://modify.by/catalog/bryuki/243771058/?utm_source=price&amp;utm_medium=xlsx","открыть")</f>
        <v>открыть</v>
      </c>
    </row>
    <row r="644">
      <c r="A644" t="inlineStr">
        <is>
          <t xml:space="preserve">Мужской</t>
        </is>
      </c>
      <c r="B644" t="inlineStr">
        <is>
          <t xml:space="preserve">Брюки</t>
        </is>
      </c>
      <c r="C644" t="inlineStr">
        <is>
          <t xml:space="preserve">Брюки чиносы классические прямые хлопок 100%, серый</t>
        </is>
      </c>
      <c r="D644" t="inlineStr">
        <is>
          <t xml:space="preserve">PA42M02серый</t>
        </is>
      </c>
      <c r="E644" t="inlineStr">
        <is>
          <t xml:space="preserve">серый</t>
        </is>
      </c>
      <c r="F644" t="inlineStr">
        <is>
          <t xml:space="preserve">50</t>
        </is>
      </c>
      <c r="G644">
        <v>58</v>
      </c>
      <c r="H644" s="2">
        <v>47.0</v>
      </c>
      <c r="I644" t="inlineStr">
        <is>
          <t xml:space="preserve">хлопок 100%</t>
        </is>
      </c>
      <c r="J644" t="inlineStr">
        <is>
          <t xml:space="preserve">Демисезон</t>
        </is>
      </c>
      <c r="K644" t="inlineStr">
        <is>
          <t xml:space="preserve">Бангладеш</t>
        </is>
      </c>
      <c r="L644" t="inlineStr">
        <is>
          <t xml:space="preserve">6203423500</t>
        </is>
      </c>
      <c r="M644" t="inlineStr">
        <is>
          <t xml:space="preserve">Декларация № ЕАЭС № BY/112 11.01. ТР017 122.01 08246, до 19.04.2028</t>
        </is>
      </c>
      <c r="N644" t="inlineStr">
        <is>
          <t xml:space="preserve">31 × 36 × 2</t>
        </is>
      </c>
      <c r="O644" t="inlineStr">
        <is>
          <t xml:space="preserve">0,45</t>
        </is>
      </c>
      <c r="P644" t="inlineStr">
        <is>
          <t xml:space="preserve">4816148109859</t>
        </is>
      </c>
      <c r="Q644" s="3" t="str">
        <f>HYPERLINK("https://modify.by/img/243771058/1.webp","фото")</f>
        <v>фото</v>
      </c>
      <c r="R644" s="3" t="str">
        <f>HYPERLINK("https://modify.by/catalog/bryuki/243771058/?utm_source=price&amp;utm_medium=xlsx","открыть")</f>
        <v>открыть</v>
      </c>
    </row>
    <row r="645">
      <c r="A645" t="inlineStr">
        <is>
          <t xml:space="preserve">Мужской</t>
        </is>
      </c>
      <c r="B645" t="inlineStr">
        <is>
          <t xml:space="preserve">Брюки</t>
        </is>
      </c>
      <c r="C645" t="inlineStr">
        <is>
          <t xml:space="preserve">Брюки чиносы классические прямые хлопок 100%, серый</t>
        </is>
      </c>
      <c r="D645" t="inlineStr">
        <is>
          <t xml:space="preserve">PA42M02серый</t>
        </is>
      </c>
      <c r="E645" t="inlineStr">
        <is>
          <t xml:space="preserve">серый</t>
        </is>
      </c>
      <c r="F645" t="inlineStr">
        <is>
          <t xml:space="preserve">52</t>
        </is>
      </c>
      <c r="G645">
        <v>33</v>
      </c>
      <c r="H645" s="2">
        <v>47.0</v>
      </c>
      <c r="I645" t="inlineStr">
        <is>
          <t xml:space="preserve">хлопок 100%</t>
        </is>
      </c>
      <c r="J645" t="inlineStr">
        <is>
          <t xml:space="preserve">Демисезон</t>
        </is>
      </c>
      <c r="K645" t="inlineStr">
        <is>
          <t xml:space="preserve">Бангладеш</t>
        </is>
      </c>
      <c r="L645" t="inlineStr">
        <is>
          <t xml:space="preserve">6203423500</t>
        </is>
      </c>
      <c r="M645" t="inlineStr">
        <is>
          <t xml:space="preserve">Декларация № ЕАЭС № BY/112 11.01. ТР017 122.01 08246, до 19.04.2028</t>
        </is>
      </c>
      <c r="N645" t="inlineStr">
        <is>
          <t xml:space="preserve">31 × 36 × 2</t>
        </is>
      </c>
      <c r="O645" t="inlineStr">
        <is>
          <t xml:space="preserve">0,45</t>
        </is>
      </c>
      <c r="P645" t="inlineStr">
        <is>
          <t xml:space="preserve">4816148109866</t>
        </is>
      </c>
      <c r="Q645" s="3" t="str">
        <f>HYPERLINK("https://modify.by/img/243771058/1.webp","фото")</f>
        <v>фото</v>
      </c>
      <c r="R645" s="3" t="str">
        <f>HYPERLINK("https://modify.by/catalog/bryuki/243771058/?utm_source=price&amp;utm_medium=xlsx","открыть")</f>
        <v>открыть</v>
      </c>
    </row>
    <row r="646">
      <c r="A646" t="inlineStr">
        <is>
          <t xml:space="preserve">Мужской</t>
        </is>
      </c>
      <c r="B646" t="inlineStr">
        <is>
          <t xml:space="preserve">Брюки</t>
        </is>
      </c>
      <c r="C646" t="inlineStr">
        <is>
          <t xml:space="preserve">Брюки чиносы классические прямые хлопок 100%, темно-синий</t>
        </is>
      </c>
      <c r="D646" t="inlineStr">
        <is>
          <t xml:space="preserve">PA42M02темно-синий</t>
        </is>
      </c>
      <c r="E646" t="inlineStr">
        <is>
          <t xml:space="preserve">темно-синий</t>
        </is>
      </c>
      <c r="F646" t="inlineStr">
        <is>
          <t xml:space="preserve">50</t>
        </is>
      </c>
      <c r="G646">
        <v>30</v>
      </c>
      <c r="H646" s="2">
        <v>47.0</v>
      </c>
      <c r="I646" t="inlineStr">
        <is>
          <t xml:space="preserve">хлопок 100%</t>
        </is>
      </c>
      <c r="J646" t="inlineStr">
        <is>
          <t xml:space="preserve">Демисезон</t>
        </is>
      </c>
      <c r="K646" t="inlineStr">
        <is>
          <t xml:space="preserve">Бангладеш</t>
        </is>
      </c>
      <c r="L646" t="inlineStr">
        <is>
          <t xml:space="preserve">6203423500</t>
        </is>
      </c>
      <c r="M646" t="inlineStr">
        <is>
          <t xml:space="preserve">Декларация № ЕАЭС № BY/112 11.01. ТР017 122.01 08246, до 19.04.2028</t>
        </is>
      </c>
      <c r="N646" t="inlineStr">
        <is>
          <t xml:space="preserve">31 × 36 × 2</t>
        </is>
      </c>
      <c r="O646" t="inlineStr">
        <is>
          <t xml:space="preserve">0,45</t>
        </is>
      </c>
      <c r="P646" t="inlineStr">
        <is>
          <t xml:space="preserve">4816148109811</t>
        </is>
      </c>
      <c r="Q646" s="3" t="str">
        <f>HYPERLINK("https://modify.by/img/243771057/1.webp","фото")</f>
        <v>фото</v>
      </c>
      <c r="R646" s="3" t="str">
        <f>HYPERLINK("https://modify.by/catalog/bryuki/243771057/?utm_source=price&amp;utm_medium=xlsx","открыть")</f>
        <v>открыть</v>
      </c>
    </row>
    <row r="647">
      <c r="A647" t="inlineStr">
        <is>
          <t xml:space="preserve">Мужской</t>
        </is>
      </c>
      <c r="B647" t="inlineStr">
        <is>
          <t xml:space="preserve">Брюки</t>
        </is>
      </c>
      <c r="C647" t="inlineStr">
        <is>
          <t xml:space="preserve">Брюки чиносы классические прямые хлопок 100%, темно-синий</t>
        </is>
      </c>
      <c r="D647" t="inlineStr">
        <is>
          <t xml:space="preserve">PA42M02темно-синий</t>
        </is>
      </c>
      <c r="E647" t="inlineStr">
        <is>
          <t xml:space="preserve">темно-синий</t>
        </is>
      </c>
      <c r="F647" t="inlineStr">
        <is>
          <t xml:space="preserve">52</t>
        </is>
      </c>
      <c r="G647">
        <v>4</v>
      </c>
      <c r="H647" s="2">
        <v>47.0</v>
      </c>
      <c r="I647" t="inlineStr">
        <is>
          <t xml:space="preserve">хлопок 100%</t>
        </is>
      </c>
      <c r="J647" t="inlineStr">
        <is>
          <t xml:space="preserve">Демисезон</t>
        </is>
      </c>
      <c r="K647" t="inlineStr">
        <is>
          <t xml:space="preserve">Бангладеш</t>
        </is>
      </c>
      <c r="L647" t="inlineStr">
        <is>
          <t xml:space="preserve">6203423500</t>
        </is>
      </c>
      <c r="M647" t="inlineStr">
        <is>
          <t xml:space="preserve">Декларация № ЕАЭС № BY/112 11.01. ТР017 122.01 08246, до 19.04.2028</t>
        </is>
      </c>
      <c r="N647" t="inlineStr">
        <is>
          <t xml:space="preserve">31 × 36 × 2</t>
        </is>
      </c>
      <c r="O647" t="inlineStr">
        <is>
          <t xml:space="preserve">0,45</t>
        </is>
      </c>
      <c r="P647" t="inlineStr">
        <is>
          <t xml:space="preserve">4816148109828</t>
        </is>
      </c>
      <c r="Q647" s="3" t="str">
        <f>HYPERLINK("https://modify.by/img/243771057/1.webp","фото")</f>
        <v>фото</v>
      </c>
      <c r="R647" s="3" t="str">
        <f>HYPERLINK("https://modify.by/catalog/bryuki/243771057/?utm_source=price&amp;utm_medium=xlsx","открыть")</f>
        <v>открыть</v>
      </c>
    </row>
    <row r="648">
      <c r="A648" t="inlineStr">
        <is>
          <t xml:space="preserve">Мужской</t>
        </is>
      </c>
      <c r="B648" t="inlineStr">
        <is>
          <t xml:space="preserve">Брюки</t>
        </is>
      </c>
      <c r="C648" t="inlineStr">
        <is>
          <t xml:space="preserve">Брюки штроксы вельветовые Y2k</t>
        </is>
      </c>
      <c r="D648" t="inlineStr">
        <is>
          <t xml:space="preserve">PA42M01черный</t>
        </is>
      </c>
      <c r="E648" t="inlineStr">
        <is>
          <t xml:space="preserve">черный</t>
        </is>
      </c>
      <c r="F648" t="inlineStr">
        <is>
          <t xml:space="preserve">46</t>
        </is>
      </c>
      <c r="G648">
        <v>28</v>
      </c>
      <c r="H648" s="2">
        <v>50.0</v>
      </c>
      <c r="I648" t="inlineStr">
        <is>
          <t xml:space="preserve">100% хлопок</t>
        </is>
      </c>
      <c r="J648" t="inlineStr">
        <is>
          <t xml:space="preserve">Демисезон</t>
        </is>
      </c>
      <c r="K648" t="inlineStr">
        <is>
          <t xml:space="preserve">Бангладеш</t>
        </is>
      </c>
      <c r="L648" t="inlineStr">
        <is>
          <t xml:space="preserve">6203423500</t>
        </is>
      </c>
      <c r="M648" t="inlineStr">
        <is>
          <t xml:space="preserve">Декларация № ЕАЭС № BY/112 11.01. ТР017 122.01 08246, до 19.04.2028</t>
        </is>
      </c>
      <c r="N648" t="inlineStr">
        <is>
          <t xml:space="preserve">34 × 24 × 2</t>
        </is>
      </c>
      <c r="O648" t="inlineStr">
        <is>
          <t xml:space="preserve">0,58</t>
        </is>
      </c>
      <c r="P648" t="inlineStr">
        <is>
          <t xml:space="preserve">4816148110251</t>
        </is>
      </c>
      <c r="Q648" s="3" t="str">
        <f>HYPERLINK("https://modify.by/img/251906810/1.webp","фото")</f>
        <v>фото</v>
      </c>
      <c r="R648" s="3" t="str">
        <f>HYPERLINK("https://modify.by/catalog/bryuki/251906810/?utm_source=price&amp;utm_medium=xlsx","открыть")</f>
        <v>открыть</v>
      </c>
    </row>
    <row r="649">
      <c r="A649" t="inlineStr">
        <is>
          <t xml:space="preserve">Мужской</t>
        </is>
      </c>
      <c r="B649" t="inlineStr">
        <is>
          <t xml:space="preserve">Брюки</t>
        </is>
      </c>
      <c r="C649" t="inlineStr">
        <is>
          <t xml:space="preserve">Брюки штроксы вельветовые Y2k</t>
        </is>
      </c>
      <c r="D649" t="inlineStr">
        <is>
          <t xml:space="preserve">PA42M01черный</t>
        </is>
      </c>
      <c r="E649" t="inlineStr">
        <is>
          <t xml:space="preserve">черный</t>
        </is>
      </c>
      <c r="F649" t="inlineStr">
        <is>
          <t xml:space="preserve">48</t>
        </is>
      </c>
      <c r="G649">
        <v>4</v>
      </c>
      <c r="H649" s="2">
        <v>50.0</v>
      </c>
      <c r="I649" t="inlineStr">
        <is>
          <t xml:space="preserve">100% хлопок</t>
        </is>
      </c>
      <c r="J649" t="inlineStr">
        <is>
          <t xml:space="preserve">Демисезон</t>
        </is>
      </c>
      <c r="K649" t="inlineStr">
        <is>
          <t xml:space="preserve">Бангладеш</t>
        </is>
      </c>
      <c r="L649" t="inlineStr">
        <is>
          <t xml:space="preserve">6203423500</t>
        </is>
      </c>
      <c r="M649" t="inlineStr">
        <is>
          <t xml:space="preserve">Декларация № ЕАЭС № BY/112 11.01. ТР017 122.01 08246, до 19.04.2028</t>
        </is>
      </c>
      <c r="N649" t="inlineStr">
        <is>
          <t xml:space="preserve">34 × 24 × 2</t>
        </is>
      </c>
      <c r="O649" t="inlineStr">
        <is>
          <t xml:space="preserve">0,58</t>
        </is>
      </c>
      <c r="P649" t="inlineStr">
        <is>
          <t xml:space="preserve">4816148110268</t>
        </is>
      </c>
      <c r="Q649" s="3" t="str">
        <f>HYPERLINK("https://modify.by/img/251906810/1.webp","фото")</f>
        <v>фото</v>
      </c>
      <c r="R649" s="3" t="str">
        <f>HYPERLINK("https://modify.by/catalog/bryuki/251906810/?utm_source=price&amp;utm_medium=xlsx","открыть")</f>
        <v>открыть</v>
      </c>
    </row>
    <row r="650">
      <c r="A650" t="inlineStr">
        <is>
          <t xml:space="preserve">Мужской</t>
        </is>
      </c>
      <c r="B650" t="inlineStr">
        <is>
          <t xml:space="preserve">Брюки</t>
        </is>
      </c>
      <c r="C650" t="inlineStr">
        <is>
          <t xml:space="preserve">Брюки, темно-синий</t>
        </is>
      </c>
      <c r="D650" t="inlineStr">
        <is>
          <t xml:space="preserve">CH82M2темно-синий</t>
        </is>
      </c>
      <c r="E650" t="inlineStr">
        <is>
          <t xml:space="preserve">темно-синий</t>
        </is>
      </c>
      <c r="F650" t="inlineStr">
        <is>
          <t xml:space="preserve">46-176</t>
        </is>
      </c>
      <c r="G650">
        <v>1</v>
      </c>
      <c r="H650" s="2">
        <v>33.0</v>
      </c>
      <c r="I650" t="inlineStr">
        <is>
          <t xml:space="preserve">хлопок 100%</t>
        </is>
      </c>
      <c r="J650" t="inlineStr">
        <is>
          <t xml:space="preserve">Лето</t>
        </is>
      </c>
      <c r="K650" t="inlineStr">
        <is>
          <t xml:space="preserve">Бангладеш</t>
        </is>
      </c>
      <c r="L650" t="inlineStr">
        <is>
          <t xml:space="preserve">6203411000</t>
        </is>
      </c>
      <c r="M650" t="inlineStr">
        <is>
          <t xml:space="preserve">по запросу</t>
        </is>
      </c>
      <c r="N650"/>
      <c r="O650"/>
      <c r="P650" t="inlineStr">
        <is>
          <t xml:space="preserve">8595633608669</t>
        </is>
      </c>
      <c r="Q650" s="3" t="str">
        <f>HYPERLINK("https://modify.by/img/5828305/1.webp","фото")</f>
        <v>фото</v>
      </c>
      <c r="R650" s="3" t="str">
        <f>HYPERLINK("https://modify.by/catalog/bryuki/5828305/?utm_source=price&amp;utm_medium=xlsx","открыть")</f>
        <v>открыть</v>
      </c>
    </row>
    <row r="651">
      <c r="A651" t="inlineStr">
        <is>
          <t xml:space="preserve">Мужской</t>
        </is>
      </c>
      <c r="B651" t="inlineStr">
        <is>
          <t xml:space="preserve">Брюки</t>
        </is>
      </c>
      <c r="C651" t="inlineStr">
        <is>
          <t xml:space="preserve">Джоггеры хлопковые, коричневый</t>
        </is>
      </c>
      <c r="D651" t="inlineStr">
        <is>
          <t xml:space="preserve">PA32M04коричневый</t>
        </is>
      </c>
      <c r="E651" t="inlineStr">
        <is>
          <t xml:space="preserve">коричневый</t>
        </is>
      </c>
      <c r="F651" t="inlineStr">
        <is>
          <t xml:space="preserve">44</t>
        </is>
      </c>
      <c r="G651">
        <v>1</v>
      </c>
      <c r="H651" s="2">
        <v>50.0</v>
      </c>
      <c r="I651" t="inlineStr">
        <is>
          <t xml:space="preserve">Хлопок 98% эластан 2%</t>
        </is>
      </c>
      <c r="J651" t="inlineStr">
        <is>
          <t xml:space="preserve">демисезон</t>
        </is>
      </c>
      <c r="K651" t="inlineStr">
        <is>
          <t xml:space="preserve">Бангладеш</t>
        </is>
      </c>
      <c r="L651" t="inlineStr">
        <is>
          <t xml:space="preserve">6203423500</t>
        </is>
      </c>
      <c r="M651" t="inlineStr">
        <is>
          <t xml:space="preserve">по запросу</t>
        </is>
      </c>
      <c r="N651" t="inlineStr">
        <is>
          <t xml:space="preserve">38 × 30 × 2</t>
        </is>
      </c>
      <c r="O651" t="inlineStr">
        <is>
          <t xml:space="preserve">0,52</t>
        </is>
      </c>
      <c r="P651" t="inlineStr">
        <is>
          <t xml:space="preserve">2038096185767</t>
        </is>
      </c>
      <c r="Q651" s="3" t="str">
        <f>HYPERLINK("https://modify.by/img/197138085/1.webp","фото")</f>
        <v>фото</v>
      </c>
      <c r="R651" s="3" t="str">
        <f>HYPERLINK("https://modify.by/catalog/bryuki/197138085/?utm_source=price&amp;utm_medium=xlsx","открыть")</f>
        <v>открыть</v>
      </c>
    </row>
    <row r="652">
      <c r="A652" t="inlineStr">
        <is>
          <t xml:space="preserve">Мужской</t>
        </is>
      </c>
      <c r="B652" t="inlineStr">
        <is>
          <t xml:space="preserve">Брюки</t>
        </is>
      </c>
      <c r="C652" t="inlineStr">
        <is>
          <t xml:space="preserve">Джоггеры хлопковые, черный</t>
        </is>
      </c>
      <c r="D652" t="inlineStr">
        <is>
          <t xml:space="preserve">PA32M04черный</t>
        </is>
      </c>
      <c r="E652" t="inlineStr">
        <is>
          <t xml:space="preserve">черный</t>
        </is>
      </c>
      <c r="F652" t="inlineStr">
        <is>
          <t xml:space="preserve">44</t>
        </is>
      </c>
      <c r="G652">
        <v>1</v>
      </c>
      <c r="H652" s="2">
        <v>50.0</v>
      </c>
      <c r="I652" t="inlineStr">
        <is>
          <t xml:space="preserve">Хлопок 98% эластан 2%</t>
        </is>
      </c>
      <c r="J652" t="inlineStr">
        <is>
          <t xml:space="preserve">демисезон</t>
        </is>
      </c>
      <c r="K652" t="inlineStr">
        <is>
          <t xml:space="preserve">Бангладеш</t>
        </is>
      </c>
      <c r="L652" t="inlineStr">
        <is>
          <t xml:space="preserve">6203423500</t>
        </is>
      </c>
      <c r="M652" t="inlineStr">
        <is>
          <t xml:space="preserve">по запросу</t>
        </is>
      </c>
      <c r="N652" t="inlineStr">
        <is>
          <t xml:space="preserve">38 × 30 × 2</t>
        </is>
      </c>
      <c r="O652" t="inlineStr">
        <is>
          <t xml:space="preserve">0,52</t>
        </is>
      </c>
      <c r="P652" t="inlineStr">
        <is>
          <t xml:space="preserve">2038096185668</t>
        </is>
      </c>
      <c r="Q652" s="3" t="str">
        <f>HYPERLINK("https://modify.by/img/197138109/1.webp","фото")</f>
        <v>фото</v>
      </c>
      <c r="R652" s="3" t="str">
        <f>HYPERLINK("https://modify.by/catalog/bryuki/197138109/?utm_source=price&amp;utm_medium=xlsx","открыть")</f>
        <v>открыть</v>
      </c>
    </row>
    <row r="653">
      <c r="A653" t="inlineStr">
        <is>
          <t xml:space="preserve">Мужской</t>
        </is>
      </c>
      <c r="B653" t="inlineStr">
        <is>
          <t xml:space="preserve">Брюки</t>
        </is>
      </c>
      <c r="C653" t="inlineStr">
        <is>
          <t xml:space="preserve">Карго джоггеры джинсовые стрейч варенка</t>
        </is>
      </c>
      <c r="D653" t="inlineStr">
        <is>
          <t xml:space="preserve">PA32M03синий</t>
        </is>
      </c>
      <c r="E653" t="inlineStr">
        <is>
          <t xml:space="preserve">синий</t>
        </is>
      </c>
      <c r="F653" t="inlineStr">
        <is>
          <t xml:space="preserve">50</t>
        </is>
      </c>
      <c r="G653">
        <v>1</v>
      </c>
      <c r="H653" s="2">
        <v>56.0</v>
      </c>
      <c r="I653" t="inlineStr">
        <is>
          <t xml:space="preserve">Хлопок 98% Эластан 2%</t>
        </is>
      </c>
      <c r="J653" t="inlineStr">
        <is>
          <t xml:space="preserve">демисезон</t>
        </is>
      </c>
      <c r="K653" t="inlineStr">
        <is>
          <t xml:space="preserve">Бангладеш</t>
        </is>
      </c>
      <c r="L653" t="inlineStr">
        <is>
          <t xml:space="preserve">6203423500</t>
        </is>
      </c>
      <c r="M653" t="inlineStr">
        <is>
          <t xml:space="preserve">по запросу</t>
        </is>
      </c>
      <c r="N653" t="inlineStr">
        <is>
          <t xml:space="preserve">29 × 35 × 4</t>
        </is>
      </c>
      <c r="O653" t="inlineStr">
        <is>
          <t xml:space="preserve">0,49</t>
        </is>
      </c>
      <c r="P653" t="inlineStr">
        <is>
          <t xml:space="preserve">2038096185590</t>
        </is>
      </c>
      <c r="Q653" s="3" t="str">
        <f>HYPERLINK("https://modify.by/img/197138108/1.webp","фото")</f>
        <v>фото</v>
      </c>
      <c r="R653" s="3" t="str">
        <f>HYPERLINK("https://modify.by/catalog/bryuki/197138108/?utm_source=price&amp;utm_medium=xlsx","открыть")</f>
        <v>открыть</v>
      </c>
    </row>
    <row r="654">
      <c r="A654" t="inlineStr">
        <is>
          <t xml:space="preserve">Мужской</t>
        </is>
      </c>
      <c r="B654" t="inlineStr">
        <is>
          <t xml:space="preserve">Брюки</t>
        </is>
      </c>
      <c r="C654" t="inlineStr">
        <is>
          <t xml:space="preserve">Классические брюки чиносы</t>
        </is>
      </c>
      <c r="D654" t="inlineStr">
        <is>
          <t xml:space="preserve">CH02M2Серо-синий</t>
        </is>
      </c>
      <c r="E654" t="inlineStr">
        <is>
          <t xml:space="preserve">серо-синий</t>
        </is>
      </c>
      <c r="F654" t="inlineStr">
        <is>
          <t xml:space="preserve">58</t>
        </is>
      </c>
      <c r="G654">
        <v>1</v>
      </c>
      <c r="H654" s="2">
        <v>37.0</v>
      </c>
      <c r="I654" t="inlineStr">
        <is>
          <t xml:space="preserve">Хлопок 98%, Эластан 2%</t>
        </is>
      </c>
      <c r="J654" t="inlineStr">
        <is>
          <t xml:space="preserve">круглогодичный</t>
        </is>
      </c>
      <c r="K654" t="inlineStr">
        <is>
          <t xml:space="preserve">Бангладеш</t>
        </is>
      </c>
      <c r="L654" t="inlineStr">
        <is>
          <t xml:space="preserve">6203411000</t>
        </is>
      </c>
      <c r="M654" t="inlineStr">
        <is>
          <t xml:space="preserve">по запросу</t>
        </is>
      </c>
      <c r="N654"/>
      <c r="O654"/>
      <c r="P654" t="inlineStr">
        <is>
          <t xml:space="preserve">8595633659883</t>
        </is>
      </c>
      <c r="Q654" s="3" t="str">
        <f>HYPERLINK("https://modify.by/img/13645822/1.webp","фото")</f>
        <v>фото</v>
      </c>
      <c r="R654" s="3" t="str">
        <f>HYPERLINK("https://modify.by/catalog/bryuki/13645822/?utm_source=price&amp;utm_medium=xlsx","открыть")</f>
        <v>открыть</v>
      </c>
    </row>
    <row r="655">
      <c r="A655" t="inlineStr">
        <is>
          <t xml:space="preserve">Мужской</t>
        </is>
      </c>
      <c r="B655" t="inlineStr">
        <is>
          <t xml:space="preserve">Брюки</t>
        </is>
      </c>
      <c r="C655" t="inlineStr">
        <is>
          <t xml:space="preserve">Штаны домашние трикотажные трико</t>
        </is>
      </c>
      <c r="D655" t="inlineStr">
        <is>
          <t xml:space="preserve">T3PA52M04бежевый</t>
        </is>
      </c>
      <c r="E655" t="inlineStr">
        <is>
          <t xml:space="preserve">бежевый</t>
        </is>
      </c>
      <c r="F655" t="inlineStr">
        <is>
          <t xml:space="preserve">52</t>
        </is>
      </c>
      <c r="G655">
        <v>5</v>
      </c>
      <c r="H655" s="2">
        <v>45.0</v>
      </c>
      <c r="I655" t="inlineStr">
        <is>
          <t xml:space="preserve">100% полиэстер</t>
        </is>
      </c>
      <c r="J655" t="inlineStr">
        <is>
          <t xml:space="preserve">Демисезон</t>
        </is>
      </c>
      <c r="K655" t="inlineStr">
        <is>
          <t xml:space="preserve">Китай</t>
        </is>
      </c>
      <c r="L655" t="inlineStr">
        <is>
          <t xml:space="preserve">6103430001</t>
        </is>
      </c>
      <c r="M655" t="inlineStr">
        <is>
          <t xml:space="preserve">Декларация № ЕАЭС N RU Д-CN.РА02.В.44039/24, до 28.02.2029</t>
        </is>
      </c>
      <c r="N655" t="inlineStr">
        <is>
          <t xml:space="preserve">26 × 22 × 3</t>
        </is>
      </c>
      <c r="O655" t="inlineStr">
        <is>
          <t xml:space="preserve">0,38</t>
        </is>
      </c>
      <c r="P655" t="inlineStr">
        <is>
          <t xml:space="preserve">4816148167651</t>
        </is>
      </c>
      <c r="Q655" s="3" t="str">
        <f>HYPERLINK("https://modify.by/img/437243322/1.webp","фото")</f>
        <v>фото</v>
      </c>
      <c r="R655" s="3" t="str">
        <f>HYPERLINK("https://modify.by/catalog/bryuki/437243322/?utm_source=price&amp;utm_medium=xlsx","открыть")</f>
        <v>открыть</v>
      </c>
    </row>
    <row r="656">
      <c r="A656" t="inlineStr">
        <is>
          <t xml:space="preserve">Мужской</t>
        </is>
      </c>
      <c r="B656" t="inlineStr">
        <is>
          <t xml:space="preserve">Ветровки</t>
        </is>
      </c>
      <c r="C656" t="inlineStr">
        <is>
          <t xml:space="preserve">Олимпийка Ветровка оверсайз куртка в стиле Y2K, белый</t>
        </is>
      </c>
      <c r="D656" t="inlineStr">
        <is>
          <t xml:space="preserve">T3HO52M03черный,белый</t>
        </is>
      </c>
      <c r="E656" t="inlineStr">
        <is>
          <t xml:space="preserve">черный, белый</t>
        </is>
      </c>
      <c r="F656" t="inlineStr">
        <is>
          <t xml:space="preserve">44</t>
        </is>
      </c>
      <c r="G656">
        <v>2</v>
      </c>
      <c r="H656" s="2">
        <v>60.0</v>
      </c>
      <c r="I656" t="inlineStr">
        <is>
          <t xml:space="preserve">100% полиэстер</t>
        </is>
      </c>
      <c r="J656" t="inlineStr">
        <is>
          <t xml:space="preserve">демисезон</t>
        </is>
      </c>
      <c r="K656" t="inlineStr">
        <is>
          <t xml:space="preserve">Китай</t>
        </is>
      </c>
      <c r="L656" t="inlineStr">
        <is>
          <t xml:space="preserve">6101309000</t>
        </is>
      </c>
      <c r="M656" t="inlineStr">
        <is>
          <t xml:space="preserve">Декларация № ЕАЭС N RU Д-CN.РА02.В.44039/24, до 28.02.2029</t>
        </is>
      </c>
      <c r="N656" t="inlineStr">
        <is>
          <t xml:space="preserve">44 × 33 × 2</t>
        </is>
      </c>
      <c r="O656" t="inlineStr">
        <is>
          <t xml:space="preserve">0,56</t>
        </is>
      </c>
      <c r="P656" t="inlineStr">
        <is>
          <t xml:space="preserve">4816148152428</t>
        </is>
      </c>
      <c r="Q656" s="3" t="str">
        <f>HYPERLINK("https://modify.by/img/295562723/1.webp","фото")</f>
        <v>фото</v>
      </c>
      <c r="R656" s="3" t="str">
        <f>HYPERLINK("https://modify.by/catalog/vetrovki/295562723/?utm_source=price&amp;utm_medium=xlsx","открыть")</f>
        <v>открыть</v>
      </c>
    </row>
    <row r="657">
      <c r="A657" t="inlineStr">
        <is>
          <t xml:space="preserve">Мужской</t>
        </is>
      </c>
      <c r="B657" t="inlineStr">
        <is>
          <t xml:space="preserve">Ветровки</t>
        </is>
      </c>
      <c r="C657" t="inlineStr">
        <is>
          <t xml:space="preserve">Олимпийка Ветровка оверсайз куртка в стиле Y2K, белый</t>
        </is>
      </c>
      <c r="D657" t="inlineStr">
        <is>
          <t xml:space="preserve">T3HO52M03черный,белый</t>
        </is>
      </c>
      <c r="E657" t="inlineStr">
        <is>
          <t xml:space="preserve">черный, белый</t>
        </is>
      </c>
      <c r="F657" t="inlineStr">
        <is>
          <t xml:space="preserve">46</t>
        </is>
      </c>
      <c r="G657">
        <v>5</v>
      </c>
      <c r="H657" s="2">
        <v>60.0</v>
      </c>
      <c r="I657" t="inlineStr">
        <is>
          <t xml:space="preserve">100% полиэстер</t>
        </is>
      </c>
      <c r="J657" t="inlineStr">
        <is>
          <t xml:space="preserve">демисезон</t>
        </is>
      </c>
      <c r="K657" t="inlineStr">
        <is>
          <t xml:space="preserve">Китай</t>
        </is>
      </c>
      <c r="L657" t="inlineStr">
        <is>
          <t xml:space="preserve">6101309000</t>
        </is>
      </c>
      <c r="M657" t="inlineStr">
        <is>
          <t xml:space="preserve">Декларация № ЕАЭС N RU Д-CN.РА02.В.44039/24, до 28.02.2029</t>
        </is>
      </c>
      <c r="N657" t="inlineStr">
        <is>
          <t xml:space="preserve">44 × 33 × 2</t>
        </is>
      </c>
      <c r="O657" t="inlineStr">
        <is>
          <t xml:space="preserve">0,56</t>
        </is>
      </c>
      <c r="P657" t="inlineStr">
        <is>
          <t xml:space="preserve">4816148152435</t>
        </is>
      </c>
      <c r="Q657" s="3" t="str">
        <f>HYPERLINK("https://modify.by/img/295562723/1.webp","фото")</f>
        <v>фото</v>
      </c>
      <c r="R657" s="3" t="str">
        <f>HYPERLINK("https://modify.by/catalog/vetrovki/295562723/?utm_source=price&amp;utm_medium=xlsx","открыть")</f>
        <v>открыть</v>
      </c>
    </row>
    <row r="658">
      <c r="A658" t="inlineStr">
        <is>
          <t xml:space="preserve">Мужской</t>
        </is>
      </c>
      <c r="B658" t="inlineStr">
        <is>
          <t xml:space="preserve">Ветровки</t>
        </is>
      </c>
      <c r="C658" t="inlineStr">
        <is>
          <t xml:space="preserve">Олимпийка Ветровка оверсайз куртка в стиле Y2K, белый</t>
        </is>
      </c>
      <c r="D658" t="inlineStr">
        <is>
          <t xml:space="preserve">T3HO52M03черный,белый</t>
        </is>
      </c>
      <c r="E658" t="inlineStr">
        <is>
          <t xml:space="preserve">черный, белый</t>
        </is>
      </c>
      <c r="F658" t="inlineStr">
        <is>
          <t xml:space="preserve">48</t>
        </is>
      </c>
      <c r="G658">
        <v>6</v>
      </c>
      <c r="H658" s="2">
        <v>60.0</v>
      </c>
      <c r="I658" t="inlineStr">
        <is>
          <t xml:space="preserve">100% полиэстер</t>
        </is>
      </c>
      <c r="J658" t="inlineStr">
        <is>
          <t xml:space="preserve">демисезон</t>
        </is>
      </c>
      <c r="K658" t="inlineStr">
        <is>
          <t xml:space="preserve">Китай</t>
        </is>
      </c>
      <c r="L658" t="inlineStr">
        <is>
          <t xml:space="preserve">6101309000</t>
        </is>
      </c>
      <c r="M658" t="inlineStr">
        <is>
          <t xml:space="preserve">Декларация № ЕАЭС N RU Д-CN.РА02.В.44039/24, до 28.02.2029</t>
        </is>
      </c>
      <c r="N658" t="inlineStr">
        <is>
          <t xml:space="preserve">44 × 33 × 2</t>
        </is>
      </c>
      <c r="O658" t="inlineStr">
        <is>
          <t xml:space="preserve">0,56</t>
        </is>
      </c>
      <c r="P658" t="inlineStr">
        <is>
          <t xml:space="preserve">4816148152442</t>
        </is>
      </c>
      <c r="Q658" s="3" t="str">
        <f>HYPERLINK("https://modify.by/img/295562723/1.webp","фото")</f>
        <v>фото</v>
      </c>
      <c r="R658" s="3" t="str">
        <f>HYPERLINK("https://modify.by/catalog/vetrovki/295562723/?utm_source=price&amp;utm_medium=xlsx","открыть")</f>
        <v>открыть</v>
      </c>
    </row>
    <row r="659">
      <c r="A659" t="inlineStr">
        <is>
          <t xml:space="preserve">Мужской</t>
        </is>
      </c>
      <c r="B659" t="inlineStr">
        <is>
          <t xml:space="preserve">Ветровки</t>
        </is>
      </c>
      <c r="C659" t="inlineStr">
        <is>
          <t xml:space="preserve">Олимпийка Ветровка оверсайз куртка в стиле Y2K, белый</t>
        </is>
      </c>
      <c r="D659" t="inlineStr">
        <is>
          <t xml:space="preserve">T3HO52M03черный,белый</t>
        </is>
      </c>
      <c r="E659" t="inlineStr">
        <is>
          <t xml:space="preserve">черный, белый</t>
        </is>
      </c>
      <c r="F659" t="inlineStr">
        <is>
          <t xml:space="preserve">50</t>
        </is>
      </c>
      <c r="G659">
        <v>1</v>
      </c>
      <c r="H659" s="2">
        <v>60.0</v>
      </c>
      <c r="I659" t="inlineStr">
        <is>
          <t xml:space="preserve">100% полиэстер</t>
        </is>
      </c>
      <c r="J659" t="inlineStr">
        <is>
          <t xml:space="preserve">демисезон</t>
        </is>
      </c>
      <c r="K659" t="inlineStr">
        <is>
          <t xml:space="preserve">Китай</t>
        </is>
      </c>
      <c r="L659" t="inlineStr">
        <is>
          <t xml:space="preserve">6101309000</t>
        </is>
      </c>
      <c r="M659" t="inlineStr">
        <is>
          <t xml:space="preserve">Декларация № ЕАЭС N RU Д-CN.РА02.В.44039/24, до 28.02.2029</t>
        </is>
      </c>
      <c r="N659" t="inlineStr">
        <is>
          <t xml:space="preserve">44 × 33 × 2</t>
        </is>
      </c>
      <c r="O659" t="inlineStr">
        <is>
          <t xml:space="preserve">0,56</t>
        </is>
      </c>
      <c r="P659" t="inlineStr">
        <is>
          <t xml:space="preserve">4816148152459</t>
        </is>
      </c>
      <c r="Q659" s="3" t="str">
        <f>HYPERLINK("https://modify.by/img/295562723/1.webp","фото")</f>
        <v>фото</v>
      </c>
      <c r="R659" s="3" t="str">
        <f>HYPERLINK("https://modify.by/catalog/vetrovki/295562723/?utm_source=price&amp;utm_medium=xlsx","открыть")</f>
        <v>открыть</v>
      </c>
    </row>
    <row r="660">
      <c r="A660" t="inlineStr">
        <is>
          <t xml:space="preserve">Мужской</t>
        </is>
      </c>
      <c r="B660" t="inlineStr">
        <is>
          <t xml:space="preserve">Ветровки</t>
        </is>
      </c>
      <c r="C660" t="inlineStr">
        <is>
          <t xml:space="preserve">Олимпийка Ветровка оверсайз куртка в стиле Y2K, белый</t>
        </is>
      </c>
      <c r="D660" t="inlineStr">
        <is>
          <t xml:space="preserve">T3HO52M03черный,белый</t>
        </is>
      </c>
      <c r="E660" t="inlineStr">
        <is>
          <t xml:space="preserve">черный, белый</t>
        </is>
      </c>
      <c r="F660" t="inlineStr">
        <is>
          <t xml:space="preserve">52</t>
        </is>
      </c>
      <c r="G660">
        <v>1</v>
      </c>
      <c r="H660" s="2">
        <v>60.0</v>
      </c>
      <c r="I660" t="inlineStr">
        <is>
          <t xml:space="preserve">100% полиэстер</t>
        </is>
      </c>
      <c r="J660" t="inlineStr">
        <is>
          <t xml:space="preserve">демисезон</t>
        </is>
      </c>
      <c r="K660" t="inlineStr">
        <is>
          <t xml:space="preserve">Китай</t>
        </is>
      </c>
      <c r="L660" t="inlineStr">
        <is>
          <t xml:space="preserve">6101309000</t>
        </is>
      </c>
      <c r="M660" t="inlineStr">
        <is>
          <t xml:space="preserve">Декларация № ЕАЭС N RU Д-CN.РА02.В.44039/24, до 28.02.2029</t>
        </is>
      </c>
      <c r="N660" t="inlineStr">
        <is>
          <t xml:space="preserve">44 × 33 × 2</t>
        </is>
      </c>
      <c r="O660" t="inlineStr">
        <is>
          <t xml:space="preserve">0,56</t>
        </is>
      </c>
      <c r="P660" t="inlineStr">
        <is>
          <t xml:space="preserve">4816148152466</t>
        </is>
      </c>
      <c r="Q660" s="3" t="str">
        <f>HYPERLINK("https://modify.by/img/295562723/1.webp","фото")</f>
        <v>фото</v>
      </c>
      <c r="R660" s="3" t="str">
        <f>HYPERLINK("https://modify.by/catalog/vetrovki/295562723/?utm_source=price&amp;utm_medium=xlsx","открыть")</f>
        <v>открыть</v>
      </c>
    </row>
    <row r="661">
      <c r="A661" t="inlineStr">
        <is>
          <t xml:space="preserve">Мужской</t>
        </is>
      </c>
      <c r="B661" t="inlineStr">
        <is>
          <t xml:space="preserve">Ветровки</t>
        </is>
      </c>
      <c r="C661" t="inlineStr">
        <is>
          <t xml:space="preserve">Олимпийка Ветровка оверсайз куртка в стиле Y2K, белый</t>
        </is>
      </c>
      <c r="D661" t="inlineStr">
        <is>
          <t xml:space="preserve">T3HO52M03черный,белый</t>
        </is>
      </c>
      <c r="E661" t="inlineStr">
        <is>
          <t xml:space="preserve">черный, белый</t>
        </is>
      </c>
      <c r="F661" t="inlineStr">
        <is>
          <t xml:space="preserve">54</t>
        </is>
      </c>
      <c r="G661">
        <v>4</v>
      </c>
      <c r="H661" s="2">
        <v>60.0</v>
      </c>
      <c r="I661" t="inlineStr">
        <is>
          <t xml:space="preserve">100% полиэстер</t>
        </is>
      </c>
      <c r="J661" t="inlineStr">
        <is>
          <t xml:space="preserve">демисезон</t>
        </is>
      </c>
      <c r="K661" t="inlineStr">
        <is>
          <t xml:space="preserve">Китай</t>
        </is>
      </c>
      <c r="L661" t="inlineStr">
        <is>
          <t xml:space="preserve">6101309000</t>
        </is>
      </c>
      <c r="M661" t="inlineStr">
        <is>
          <t xml:space="preserve">Декларация № ЕАЭС N RU Д-CN.РА02.В.44039/24, до 28.02.2029</t>
        </is>
      </c>
      <c r="N661" t="inlineStr">
        <is>
          <t xml:space="preserve">44 × 33 × 2</t>
        </is>
      </c>
      <c r="O661" t="inlineStr">
        <is>
          <t xml:space="preserve">0,56</t>
        </is>
      </c>
      <c r="P661" t="inlineStr">
        <is>
          <t xml:space="preserve">4816148152770</t>
        </is>
      </c>
      <c r="Q661" s="3" t="str">
        <f>HYPERLINK("https://modify.by/img/295562723/1.webp","фото")</f>
        <v>фото</v>
      </c>
      <c r="R661" s="3" t="str">
        <f>HYPERLINK("https://modify.by/catalog/vetrovki/295562723/?utm_source=price&amp;utm_medium=xlsx","открыть")</f>
        <v>открыть</v>
      </c>
    </row>
    <row r="662">
      <c r="A662" t="inlineStr">
        <is>
          <t xml:space="preserve">Мужской</t>
        </is>
      </c>
      <c r="B662" t="inlineStr">
        <is>
          <t xml:space="preserve">Ветровки</t>
        </is>
      </c>
      <c r="C662" t="inlineStr">
        <is>
          <t xml:space="preserve">Олимпийка Ветровка оверсайз куртка в стиле Y2K, синий</t>
        </is>
      </c>
      <c r="D662" t="inlineStr">
        <is>
          <t xml:space="preserve">T3HO52M01синий</t>
        </is>
      </c>
      <c r="E662" t="inlineStr">
        <is>
          <t xml:space="preserve">синий</t>
        </is>
      </c>
      <c r="F662" t="inlineStr">
        <is>
          <t xml:space="preserve">50</t>
        </is>
      </c>
      <c r="G662">
        <v>1</v>
      </c>
      <c r="H662" s="2">
        <v>51.0</v>
      </c>
      <c r="I662" t="inlineStr">
        <is>
          <t xml:space="preserve">100% полиэстер</t>
        </is>
      </c>
      <c r="J662" t="inlineStr">
        <is>
          <t xml:space="preserve">демисезон</t>
        </is>
      </c>
      <c r="K662" t="inlineStr">
        <is>
          <t xml:space="preserve">Китай</t>
        </is>
      </c>
      <c r="L662" t="inlineStr">
        <is>
          <t xml:space="preserve">6101309000</t>
        </is>
      </c>
      <c r="M662" t="inlineStr">
        <is>
          <t xml:space="preserve">Декларация № ЕАЭС N RU Д-CN.РА02.В.44039/24, до 28.02.2029</t>
        </is>
      </c>
      <c r="N662" t="inlineStr">
        <is>
          <t xml:space="preserve">34 × 22 × 3</t>
        </is>
      </c>
      <c r="O662" t="inlineStr">
        <is>
          <t xml:space="preserve">0,56</t>
        </is>
      </c>
      <c r="P662" t="inlineStr">
        <is>
          <t xml:space="preserve">4816148152343</t>
        </is>
      </c>
      <c r="Q662" s="3" t="str">
        <f>HYPERLINK("https://modify.by/img/295562731/1.webp","фото")</f>
        <v>фото</v>
      </c>
      <c r="R662" s="3" t="str">
        <f>HYPERLINK("https://modify.by/catalog/vetrovki/295562731/?utm_source=price&amp;utm_medium=xlsx","открыть")</f>
        <v>открыть</v>
      </c>
    </row>
    <row r="663">
      <c r="A663" t="inlineStr">
        <is>
          <t xml:space="preserve">Мужской</t>
        </is>
      </c>
      <c r="B663" t="inlineStr">
        <is>
          <t xml:space="preserve">Ветровки</t>
        </is>
      </c>
      <c r="C663" t="inlineStr">
        <is>
          <t xml:space="preserve">Олимпийка Ветровка оверсайз куртка в стиле Y2K, черный</t>
        </is>
      </c>
      <c r="D663" t="inlineStr">
        <is>
          <t xml:space="preserve">T3HO52M01черный</t>
        </is>
      </c>
      <c r="E663" t="inlineStr">
        <is>
          <t xml:space="preserve">черный</t>
        </is>
      </c>
      <c r="F663" t="inlineStr">
        <is>
          <t xml:space="preserve">46</t>
        </is>
      </c>
      <c r="G663">
        <v>2</v>
      </c>
      <c r="H663" s="2">
        <v>51.0</v>
      </c>
      <c r="I663" t="inlineStr">
        <is>
          <t xml:space="preserve">100% полиэстер</t>
        </is>
      </c>
      <c r="J663" t="inlineStr">
        <is>
          <t xml:space="preserve">демисезон</t>
        </is>
      </c>
      <c r="K663" t="inlineStr">
        <is>
          <t xml:space="preserve">Китай</t>
        </is>
      </c>
      <c r="L663" t="inlineStr">
        <is>
          <t xml:space="preserve">6101309000</t>
        </is>
      </c>
      <c r="M663" t="inlineStr">
        <is>
          <t xml:space="preserve">Декларация № ЕАЭС N RU Д-CN.РА02.В.44039/24, до 28.02.2029</t>
        </is>
      </c>
      <c r="N663" t="inlineStr">
        <is>
          <t xml:space="preserve">34 × 22 × 6</t>
        </is>
      </c>
      <c r="O663" t="inlineStr">
        <is>
          <t xml:space="preserve">0,56</t>
        </is>
      </c>
      <c r="P663" t="inlineStr">
        <is>
          <t xml:space="preserve">4816148152275</t>
        </is>
      </c>
      <c r="Q663" s="3" t="str">
        <f>HYPERLINK("https://modify.by/img/295562735/1.webp","фото")</f>
        <v>фото</v>
      </c>
      <c r="R663" s="3" t="str">
        <f>HYPERLINK("https://modify.by/catalog/vetrovki/295562735/?utm_source=price&amp;utm_medium=xlsx","открыть")</f>
        <v>открыть</v>
      </c>
    </row>
    <row r="664">
      <c r="A664" t="inlineStr">
        <is>
          <t xml:space="preserve">Мужской</t>
        </is>
      </c>
      <c r="B664" t="inlineStr">
        <is>
          <t xml:space="preserve">Ветровки</t>
        </is>
      </c>
      <c r="C664" t="inlineStr">
        <is>
          <t xml:space="preserve">Олимпийка Ветровка оверсайз куртка в стиле Y2K, черный</t>
        </is>
      </c>
      <c r="D664" t="inlineStr">
        <is>
          <t xml:space="preserve">T3HO52M01черный</t>
        </is>
      </c>
      <c r="E664" t="inlineStr">
        <is>
          <t xml:space="preserve">черный</t>
        </is>
      </c>
      <c r="F664" t="inlineStr">
        <is>
          <t xml:space="preserve">50</t>
        </is>
      </c>
      <c r="G664">
        <v>4</v>
      </c>
      <c r="H664" s="2">
        <v>51.0</v>
      </c>
      <c r="I664" t="inlineStr">
        <is>
          <t xml:space="preserve">100% полиэстер</t>
        </is>
      </c>
      <c r="J664" t="inlineStr">
        <is>
          <t xml:space="preserve">демисезон</t>
        </is>
      </c>
      <c r="K664" t="inlineStr">
        <is>
          <t xml:space="preserve">Китай</t>
        </is>
      </c>
      <c r="L664" t="inlineStr">
        <is>
          <t xml:space="preserve">6101309000</t>
        </is>
      </c>
      <c r="M664" t="inlineStr">
        <is>
          <t xml:space="preserve">Декларация № ЕАЭС N RU Д-CN.РА02.В.44039/24, до 28.02.2029</t>
        </is>
      </c>
      <c r="N664" t="inlineStr">
        <is>
          <t xml:space="preserve">34 × 22 × 6</t>
        </is>
      </c>
      <c r="O664" t="inlineStr">
        <is>
          <t xml:space="preserve">0,56</t>
        </is>
      </c>
      <c r="P664" t="inlineStr">
        <is>
          <t xml:space="preserve">4816148152299</t>
        </is>
      </c>
      <c r="Q664" s="3" t="str">
        <f>HYPERLINK("https://modify.by/img/295562735/1.webp","фото")</f>
        <v>фото</v>
      </c>
      <c r="R664" s="3" t="str">
        <f>HYPERLINK("https://modify.by/catalog/vetrovki/295562735/?utm_source=price&amp;utm_medium=xlsx","открыть")</f>
        <v>открыть</v>
      </c>
    </row>
    <row r="665">
      <c r="A665" t="inlineStr">
        <is>
          <t xml:space="preserve">Мужской</t>
        </is>
      </c>
      <c r="B665" t="inlineStr">
        <is>
          <t xml:space="preserve">Водолазки</t>
        </is>
      </c>
      <c r="C665" t="inlineStr">
        <is>
          <t xml:space="preserve">Водолазка классическая с горлом, бежевый</t>
        </is>
      </c>
      <c r="D665" t="inlineStr">
        <is>
          <t xml:space="preserve">SW42M09бежевый</t>
        </is>
      </c>
      <c r="E665" t="inlineStr">
        <is>
          <t xml:space="preserve">бежевый</t>
        </is>
      </c>
      <c r="F665" t="inlineStr">
        <is>
          <t xml:space="preserve">46</t>
        </is>
      </c>
      <c r="G665">
        <v>34</v>
      </c>
      <c r="H665" s="2">
        <v>26.0</v>
      </c>
      <c r="I665" t="inlineStr">
        <is>
          <t xml:space="preserve">100% хлопок</t>
        </is>
      </c>
      <c r="J665" t="inlineStr">
        <is>
          <t xml:space="preserve">демисезон</t>
        </is>
      </c>
      <c r="K665" t="inlineStr">
        <is>
          <t xml:space="preserve">Бангладеш</t>
        </is>
      </c>
      <c r="L665" t="inlineStr">
        <is>
          <t xml:space="preserve">6110209100</t>
        </is>
      </c>
      <c r="M665" t="inlineStr">
        <is>
          <t xml:space="preserve">Декларация № ЕАЭС № BY/112 11.01. ТР017 122.01 08246, до 19.04.2028</t>
        </is>
      </c>
      <c r="N665" t="inlineStr">
        <is>
          <t xml:space="preserve">27 × 34 × 3</t>
        </is>
      </c>
      <c r="O665" t="inlineStr">
        <is>
          <t xml:space="preserve">0,36</t>
        </is>
      </c>
      <c r="P665" t="inlineStr">
        <is>
          <t xml:space="preserve">4816148137043</t>
        </is>
      </c>
      <c r="Q665" s="3" t="str">
        <f>HYPERLINK("https://modify.by/img/258242643/1.webp","фото")</f>
        <v>фото</v>
      </c>
      <c r="R665" s="3" t="str">
        <f>HYPERLINK("https://modify.by/catalog/vodolazki/258242643/?utm_source=price&amp;utm_medium=xlsx","открыть")</f>
        <v>открыть</v>
      </c>
    </row>
    <row r="666">
      <c r="A666" t="inlineStr">
        <is>
          <t xml:space="preserve">Мужской</t>
        </is>
      </c>
      <c r="B666" t="inlineStr">
        <is>
          <t xml:space="preserve">Водолазки</t>
        </is>
      </c>
      <c r="C666" t="inlineStr">
        <is>
          <t xml:space="preserve">Водолазка классическая с горлом, бежевый меланж</t>
        </is>
      </c>
      <c r="D666" t="inlineStr">
        <is>
          <t xml:space="preserve">SW42M09бежевый меланж</t>
        </is>
      </c>
      <c r="E666" t="inlineStr">
        <is>
          <t xml:space="preserve">бежевый меланж</t>
        </is>
      </c>
      <c r="F666" t="inlineStr">
        <is>
          <t xml:space="preserve">48</t>
        </is>
      </c>
      <c r="G666">
        <v>3</v>
      </c>
      <c r="H666" s="2">
        <v>26.0</v>
      </c>
      <c r="I666" t="inlineStr">
        <is>
          <t xml:space="preserve">100% хлопок</t>
        </is>
      </c>
      <c r="J666" t="inlineStr">
        <is>
          <t xml:space="preserve">демисезон</t>
        </is>
      </c>
      <c r="K666" t="inlineStr">
        <is>
          <t xml:space="preserve">Бангладеш</t>
        </is>
      </c>
      <c r="L666" t="inlineStr">
        <is>
          <t xml:space="preserve">6110209100</t>
        </is>
      </c>
      <c r="M666" t="inlineStr">
        <is>
          <t xml:space="preserve">Декларация № ЕАЭС № BY/112 11.01. ТР017 122.01 08246, до 19.04.2028</t>
        </is>
      </c>
      <c r="N666" t="inlineStr">
        <is>
          <t xml:space="preserve">36 × 25 × 2</t>
        </is>
      </c>
      <c r="O666" t="inlineStr">
        <is>
          <t xml:space="preserve">0,36</t>
        </is>
      </c>
      <c r="P666" t="inlineStr">
        <is>
          <t xml:space="preserve">4816148137104</t>
        </is>
      </c>
      <c r="Q666" s="3" t="str">
        <f>HYPERLINK("https://modify.by/img/258242644/1.webp","фото")</f>
        <v>фото</v>
      </c>
      <c r="R666" s="3" t="str">
        <f>HYPERLINK("https://modify.by/catalog/vodolazki/258242644/?utm_source=price&amp;utm_medium=xlsx","открыть")</f>
        <v>открыть</v>
      </c>
    </row>
    <row r="667">
      <c r="A667" t="inlineStr">
        <is>
          <t xml:space="preserve">Мужской</t>
        </is>
      </c>
      <c r="B667" t="inlineStr">
        <is>
          <t xml:space="preserve">Водолазки</t>
        </is>
      </c>
      <c r="C667" t="inlineStr">
        <is>
          <t xml:space="preserve">Водолазка классическая с горлом, кофейный</t>
        </is>
      </c>
      <c r="D667" t="inlineStr">
        <is>
          <t xml:space="preserve">SW42M09кофейный</t>
        </is>
      </c>
      <c r="E667" t="inlineStr">
        <is>
          <t xml:space="preserve">кофейный</t>
        </is>
      </c>
      <c r="F667" t="inlineStr">
        <is>
          <t xml:space="preserve">46</t>
        </is>
      </c>
      <c r="G667">
        <v>6</v>
      </c>
      <c r="H667" s="2">
        <v>26.0</v>
      </c>
      <c r="I667" t="inlineStr">
        <is>
          <t xml:space="preserve">100% хлопок</t>
        </is>
      </c>
      <c r="J667" t="inlineStr">
        <is>
          <t xml:space="preserve">демисезон</t>
        </is>
      </c>
      <c r="K667" t="inlineStr">
        <is>
          <t xml:space="preserve">Бангладеш</t>
        </is>
      </c>
      <c r="L667" t="inlineStr">
        <is>
          <t xml:space="preserve">6110209100</t>
        </is>
      </c>
      <c r="M667" t="inlineStr">
        <is>
          <t xml:space="preserve">Декларация № ЕАЭС № BY/112 11.01. ТР017 122.01 08246, до 19.04.2028</t>
        </is>
      </c>
      <c r="N667" t="inlineStr">
        <is>
          <t xml:space="preserve">36 × 25 × 2</t>
        </is>
      </c>
      <c r="O667" t="inlineStr">
        <is>
          <t xml:space="preserve">0,36</t>
        </is>
      </c>
      <c r="P667" t="inlineStr">
        <is>
          <t xml:space="preserve">4816148137296</t>
        </is>
      </c>
      <c r="Q667" s="3" t="str">
        <f>HYPERLINK("https://modify.by/img/258242649/1.webp","фото")</f>
        <v>фото</v>
      </c>
      <c r="R667" s="3" t="str">
        <f>HYPERLINK("https://modify.by/catalog/vodolazki/258242649/?utm_source=price&amp;utm_medium=xlsx","открыть")</f>
        <v>открыть</v>
      </c>
    </row>
    <row r="668">
      <c r="A668" t="inlineStr">
        <is>
          <t xml:space="preserve">Мужской</t>
        </is>
      </c>
      <c r="B668" t="inlineStr">
        <is>
          <t xml:space="preserve">Водолазки</t>
        </is>
      </c>
      <c r="C668" t="inlineStr">
        <is>
          <t xml:space="preserve">Водолазка классическая с горлом, оливковый</t>
        </is>
      </c>
      <c r="D668" t="inlineStr">
        <is>
          <t xml:space="preserve">SW42M09светло-зеленый</t>
        </is>
      </c>
      <c r="E668" t="inlineStr">
        <is>
          <t xml:space="preserve">оливковый, светло-зеленый</t>
        </is>
      </c>
      <c r="F668" t="inlineStr">
        <is>
          <t xml:space="preserve">46</t>
        </is>
      </c>
      <c r="G668">
        <v>17</v>
      </c>
      <c r="H668" s="2">
        <v>26.0</v>
      </c>
      <c r="I668" t="inlineStr">
        <is>
          <t xml:space="preserve">100% хлопок</t>
        </is>
      </c>
      <c r="J668" t="inlineStr">
        <is>
          <t xml:space="preserve">демисезон</t>
        </is>
      </c>
      <c r="K668" t="inlineStr">
        <is>
          <t xml:space="preserve">Бангладеш</t>
        </is>
      </c>
      <c r="L668" t="inlineStr">
        <is>
          <t xml:space="preserve">6110209100</t>
        </is>
      </c>
      <c r="M668" t="inlineStr">
        <is>
          <t xml:space="preserve">Декларация № ЕАЭС № BY/112 11.01. ТР017 122.01 08246, до 19.04.2028</t>
        </is>
      </c>
      <c r="N668" t="inlineStr">
        <is>
          <t xml:space="preserve">36 × 25 × 2</t>
        </is>
      </c>
      <c r="O668" t="inlineStr">
        <is>
          <t xml:space="preserve">0,36</t>
        </is>
      </c>
      <c r="P668" t="inlineStr">
        <is>
          <t xml:space="preserve">4816148137142</t>
        </is>
      </c>
      <c r="Q668" s="3" t="str">
        <f>HYPERLINK("https://modify.by/img/258242645/1.webp","фото")</f>
        <v>фото</v>
      </c>
      <c r="R668" s="3" t="str">
        <f>HYPERLINK("https://modify.by/catalog/vodolazki/258242645/?utm_source=price&amp;utm_medium=xlsx","открыть")</f>
        <v>открыть</v>
      </c>
    </row>
    <row r="669">
      <c r="A669" t="inlineStr">
        <is>
          <t xml:space="preserve">Мужской</t>
        </is>
      </c>
      <c r="B669" t="inlineStr">
        <is>
          <t xml:space="preserve">Водолазки</t>
        </is>
      </c>
      <c r="C669" t="inlineStr">
        <is>
          <t xml:space="preserve">Водолазка классическая с горлом, оливковый</t>
        </is>
      </c>
      <c r="D669" t="inlineStr">
        <is>
          <t xml:space="preserve">SW42M09светло-зеленый</t>
        </is>
      </c>
      <c r="E669" t="inlineStr">
        <is>
          <t xml:space="preserve">оливковый, светло-зеленый</t>
        </is>
      </c>
      <c r="F669" t="inlineStr">
        <is>
          <t xml:space="preserve">48</t>
        </is>
      </c>
      <c r="G669">
        <v>49</v>
      </c>
      <c r="H669" s="2">
        <v>26.0</v>
      </c>
      <c r="I669" t="inlineStr">
        <is>
          <t xml:space="preserve">100% хлопок</t>
        </is>
      </c>
      <c r="J669" t="inlineStr">
        <is>
          <t xml:space="preserve">демисезон</t>
        </is>
      </c>
      <c r="K669" t="inlineStr">
        <is>
          <t xml:space="preserve">Бангладеш</t>
        </is>
      </c>
      <c r="L669" t="inlineStr">
        <is>
          <t xml:space="preserve">6110209100</t>
        </is>
      </c>
      <c r="M669" t="inlineStr">
        <is>
          <t xml:space="preserve">Декларация № ЕАЭС № BY/112 11.01. ТР017 122.01 08246, до 19.04.2028</t>
        </is>
      </c>
      <c r="N669" t="inlineStr">
        <is>
          <t xml:space="preserve">36 × 25 × 2</t>
        </is>
      </c>
      <c r="O669" t="inlineStr">
        <is>
          <t xml:space="preserve">0,36</t>
        </is>
      </c>
      <c r="P669" t="inlineStr">
        <is>
          <t xml:space="preserve">4816148137159</t>
        </is>
      </c>
      <c r="Q669" s="3" t="str">
        <f>HYPERLINK("https://modify.by/img/258242645/1.webp","фото")</f>
        <v>фото</v>
      </c>
      <c r="R669" s="3" t="str">
        <f>HYPERLINK("https://modify.by/catalog/vodolazki/258242645/?utm_source=price&amp;utm_medium=xlsx","открыть")</f>
        <v>открыть</v>
      </c>
    </row>
    <row r="670">
      <c r="A670" t="inlineStr">
        <is>
          <t xml:space="preserve">Мужской</t>
        </is>
      </c>
      <c r="B670" t="inlineStr">
        <is>
          <t xml:space="preserve">Водолазки</t>
        </is>
      </c>
      <c r="C670" t="inlineStr">
        <is>
          <t xml:space="preserve">Водолазка тонкая базовая хлопок, бежевый</t>
        </is>
      </c>
      <c r="D670" t="inlineStr">
        <is>
          <t xml:space="preserve">SW32M40Бежевый</t>
        </is>
      </c>
      <c r="E670" t="inlineStr">
        <is>
          <t xml:space="preserve">бежевый</t>
        </is>
      </c>
      <c r="F670" t="inlineStr">
        <is>
          <t xml:space="preserve">46</t>
        </is>
      </c>
      <c r="G670">
        <v>18</v>
      </c>
      <c r="H670" s="2">
        <v>27.0</v>
      </c>
      <c r="I670" t="inlineStr">
        <is>
          <t xml:space="preserve">хлопок 100%</t>
        </is>
      </c>
      <c r="J670" t="inlineStr">
        <is>
          <t xml:space="preserve">демисезон</t>
        </is>
      </c>
      <c r="K670" t="inlineStr">
        <is>
          <t xml:space="preserve">Бангладеш</t>
        </is>
      </c>
      <c r="L670" t="inlineStr">
        <is>
          <t xml:space="preserve">6110209100</t>
        </is>
      </c>
      <c r="M670" t="inlineStr">
        <is>
          <t xml:space="preserve">Декларация № ЕАЭС № BY/112 11.01. ТР017 122.01 08246, до 19.04.2028</t>
        </is>
      </c>
      <c r="N670" t="inlineStr">
        <is>
          <t xml:space="preserve">39 × 30 × 2</t>
        </is>
      </c>
      <c r="O670" t="inlineStr">
        <is>
          <t xml:space="preserve">0,32</t>
        </is>
      </c>
      <c r="P670" t="inlineStr">
        <is>
          <t xml:space="preserve">2038096174297</t>
        </is>
      </c>
      <c r="Q670" s="3" t="str">
        <f>HYPERLINK("https://modify.by/img/181382953/1.webp","фото")</f>
        <v>фото</v>
      </c>
      <c r="R670" s="3" t="str">
        <f>HYPERLINK("https://modify.by/catalog/vodolazki/181382953/?utm_source=price&amp;utm_medium=xlsx","открыть")</f>
        <v>открыть</v>
      </c>
    </row>
    <row r="671">
      <c r="A671" t="inlineStr">
        <is>
          <t xml:space="preserve">Мужской</t>
        </is>
      </c>
      <c r="B671" t="inlineStr">
        <is>
          <t xml:space="preserve">Водолазки</t>
        </is>
      </c>
      <c r="C671" t="inlineStr">
        <is>
          <t xml:space="preserve">Водолазка тонкая базовая хлопок, бежевый</t>
        </is>
      </c>
      <c r="D671" t="inlineStr">
        <is>
          <t xml:space="preserve">SW32M40Бежевый</t>
        </is>
      </c>
      <c r="E671" t="inlineStr">
        <is>
          <t xml:space="preserve">бежевый</t>
        </is>
      </c>
      <c r="F671" t="inlineStr">
        <is>
          <t xml:space="preserve">46</t>
        </is>
      </c>
      <c r="G671">
        <v>18</v>
      </c>
      <c r="H671" s="2">
        <v>27.0</v>
      </c>
      <c r="I671" t="inlineStr">
        <is>
          <t xml:space="preserve">хлопок 100%</t>
        </is>
      </c>
      <c r="J671" t="inlineStr">
        <is>
          <t xml:space="preserve">демисезон</t>
        </is>
      </c>
      <c r="K671" t="inlineStr">
        <is>
          <t xml:space="preserve">Бангладеш</t>
        </is>
      </c>
      <c r="L671" t="inlineStr">
        <is>
          <t xml:space="preserve">6110209100</t>
        </is>
      </c>
      <c r="M671" t="inlineStr">
        <is>
          <t xml:space="preserve">Декларация № ЕАЭС № BY/112 11.01. ТР017 122.01 08246, до 19.04.2028</t>
        </is>
      </c>
      <c r="N671" t="inlineStr">
        <is>
          <t xml:space="preserve">39 × 30 × 2</t>
        </is>
      </c>
      <c r="O671" t="inlineStr">
        <is>
          <t xml:space="preserve">0,32</t>
        </is>
      </c>
      <c r="P671" t="inlineStr">
        <is>
          <t xml:space="preserve">4816148116451</t>
        </is>
      </c>
      <c r="Q671" s="3" t="str">
        <f>HYPERLINK("https://modify.by/img/181382953/1.webp","фото")</f>
        <v>фото</v>
      </c>
      <c r="R671" s="3" t="str">
        <f>HYPERLINK("https://modify.by/catalog/vodolazki/181382953/?utm_source=price&amp;utm_medium=xlsx","открыть")</f>
        <v>открыть</v>
      </c>
    </row>
    <row r="672">
      <c r="A672" t="inlineStr">
        <is>
          <t xml:space="preserve">Мужской</t>
        </is>
      </c>
      <c r="B672" t="inlineStr">
        <is>
          <t xml:space="preserve">Водолазки</t>
        </is>
      </c>
      <c r="C672" t="inlineStr">
        <is>
          <t xml:space="preserve">Водолазка тонкая базовая хлопок, серый</t>
        </is>
      </c>
      <c r="D672" t="inlineStr">
        <is>
          <t xml:space="preserve">SW32M40Серый</t>
        </is>
      </c>
      <c r="E672" t="inlineStr">
        <is>
          <t xml:space="preserve">серый</t>
        </is>
      </c>
      <c r="F672" t="inlineStr">
        <is>
          <t xml:space="preserve">46</t>
        </is>
      </c>
      <c r="G672">
        <v>4</v>
      </c>
      <c r="H672" s="2">
        <v>27.0</v>
      </c>
      <c r="I672" t="inlineStr">
        <is>
          <t xml:space="preserve">хлопок 100%</t>
        </is>
      </c>
      <c r="J672" t="inlineStr">
        <is>
          <t xml:space="preserve">демисезон</t>
        </is>
      </c>
      <c r="K672" t="inlineStr">
        <is>
          <t xml:space="preserve">Бангладеш</t>
        </is>
      </c>
      <c r="L672" t="inlineStr">
        <is>
          <t xml:space="preserve">6110209100</t>
        </is>
      </c>
      <c r="M672" t="inlineStr">
        <is>
          <t xml:space="preserve">Декларация № ЕАЭС № BY/112 11.01. ТР017 122.01 08246, до 19.04.2028</t>
        </is>
      </c>
      <c r="N672" t="inlineStr">
        <is>
          <t xml:space="preserve">39 × 30 × 2</t>
        </is>
      </c>
      <c r="O672" t="inlineStr">
        <is>
          <t xml:space="preserve">0,32</t>
        </is>
      </c>
      <c r="P672" t="inlineStr">
        <is>
          <t xml:space="preserve">2038096174341</t>
        </is>
      </c>
      <c r="Q672" s="3" t="str">
        <f>HYPERLINK("https://modify.by/img/181382949/1.webp","фото")</f>
        <v>фото</v>
      </c>
      <c r="R672" s="3" t="str">
        <f>HYPERLINK("https://modify.by/catalog/vodolazki/181382949/?utm_source=price&amp;utm_medium=xlsx","открыть")</f>
        <v>открыть</v>
      </c>
    </row>
    <row r="673">
      <c r="A673" t="inlineStr">
        <is>
          <t xml:space="preserve">Мужской</t>
        </is>
      </c>
      <c r="B673" t="inlineStr">
        <is>
          <t xml:space="preserve">Водолазки</t>
        </is>
      </c>
      <c r="C673" t="inlineStr">
        <is>
          <t xml:space="preserve">Водолазка тонкая базовая хлопок, серый</t>
        </is>
      </c>
      <c r="D673" t="inlineStr">
        <is>
          <t xml:space="preserve">SW32M40Серый</t>
        </is>
      </c>
      <c r="E673" t="inlineStr">
        <is>
          <t xml:space="preserve">серый</t>
        </is>
      </c>
      <c r="F673" t="inlineStr">
        <is>
          <t xml:space="preserve">46</t>
        </is>
      </c>
      <c r="G673">
        <v>4</v>
      </c>
      <c r="H673" s="2">
        <v>27.0</v>
      </c>
      <c r="I673" t="inlineStr">
        <is>
          <t xml:space="preserve">хлопок 100%</t>
        </is>
      </c>
      <c r="J673" t="inlineStr">
        <is>
          <t xml:space="preserve">демисезон</t>
        </is>
      </c>
      <c r="K673" t="inlineStr">
        <is>
          <t xml:space="preserve">Бангладеш</t>
        </is>
      </c>
      <c r="L673" t="inlineStr">
        <is>
          <t xml:space="preserve">6110209100</t>
        </is>
      </c>
      <c r="M673" t="inlineStr">
        <is>
          <t xml:space="preserve">Декларация № ЕАЭС № BY/112 11.01. ТР017 122.01 08246, до 19.04.2028</t>
        </is>
      </c>
      <c r="N673" t="inlineStr">
        <is>
          <t xml:space="preserve">39 × 30 × 2</t>
        </is>
      </c>
      <c r="O673" t="inlineStr">
        <is>
          <t xml:space="preserve">0,32</t>
        </is>
      </c>
      <c r="P673" t="inlineStr">
        <is>
          <t xml:space="preserve">4816148116505</t>
        </is>
      </c>
      <c r="Q673" s="3" t="str">
        <f>HYPERLINK("https://modify.by/img/181382949/1.webp","фото")</f>
        <v>фото</v>
      </c>
      <c r="R673" s="3" t="str">
        <f>HYPERLINK("https://modify.by/catalog/vodolazki/181382949/?utm_source=price&amp;utm_medium=xlsx","открыть")</f>
        <v>открыть</v>
      </c>
    </row>
    <row r="674">
      <c r="A674" t="inlineStr">
        <is>
          <t xml:space="preserve">Мужской</t>
        </is>
      </c>
      <c r="B674" t="inlineStr">
        <is>
          <t xml:space="preserve">Водолазки</t>
        </is>
      </c>
      <c r="C674" t="inlineStr">
        <is>
          <t xml:space="preserve">Водолазка тонкая базовая хлопок, синий</t>
        </is>
      </c>
      <c r="D674" t="inlineStr">
        <is>
          <t xml:space="preserve">SW32M40Синий</t>
        </is>
      </c>
      <c r="E674" t="inlineStr">
        <is>
          <t xml:space="preserve">синий</t>
        </is>
      </c>
      <c r="F674" t="inlineStr">
        <is>
          <t xml:space="preserve">46</t>
        </is>
      </c>
      <c r="G674">
        <v>16</v>
      </c>
      <c r="H674" s="2">
        <v>27.0</v>
      </c>
      <c r="I674" t="inlineStr">
        <is>
          <t xml:space="preserve">хлопок 100%</t>
        </is>
      </c>
      <c r="J674" t="inlineStr">
        <is>
          <t xml:space="preserve">демисезон</t>
        </is>
      </c>
      <c r="K674" t="inlineStr">
        <is>
          <t xml:space="preserve">Бангладеш</t>
        </is>
      </c>
      <c r="L674" t="inlineStr">
        <is>
          <t xml:space="preserve">6110209100</t>
        </is>
      </c>
      <c r="M674" t="inlineStr">
        <is>
          <t xml:space="preserve">Декларация № ЕАЭС № BY/112 11.01. ТР017 122.01 08246, до 19.04.2028</t>
        </is>
      </c>
      <c r="N674" t="inlineStr">
        <is>
          <t xml:space="preserve">39 × 30 × 2</t>
        </is>
      </c>
      <c r="O674" t="inlineStr">
        <is>
          <t xml:space="preserve">0,32</t>
        </is>
      </c>
      <c r="P674" t="inlineStr">
        <is>
          <t xml:space="preserve">2038096174693</t>
        </is>
      </c>
      <c r="Q674" s="3" t="str">
        <f>HYPERLINK("https://modify.by/img/181382948/1.webp","фото")</f>
        <v>фото</v>
      </c>
      <c r="R674" s="3" t="str">
        <f>HYPERLINK("https://modify.by/catalog/vodolazki/181382948/?utm_source=price&amp;utm_medium=xlsx","открыть")</f>
        <v>открыть</v>
      </c>
    </row>
    <row r="675">
      <c r="A675" t="inlineStr">
        <is>
          <t xml:space="preserve">Мужской</t>
        </is>
      </c>
      <c r="B675" t="inlineStr">
        <is>
          <t xml:space="preserve">Водолазки</t>
        </is>
      </c>
      <c r="C675" t="inlineStr">
        <is>
          <t xml:space="preserve">Водолазка тонкая базовая хлопок, синий</t>
        </is>
      </c>
      <c r="D675" t="inlineStr">
        <is>
          <t xml:space="preserve">SW32M40Синий</t>
        </is>
      </c>
      <c r="E675" t="inlineStr">
        <is>
          <t xml:space="preserve">синий</t>
        </is>
      </c>
      <c r="F675" t="inlineStr">
        <is>
          <t xml:space="preserve">46</t>
        </is>
      </c>
      <c r="G675">
        <v>16</v>
      </c>
      <c r="H675" s="2">
        <v>27.0</v>
      </c>
      <c r="I675" t="inlineStr">
        <is>
          <t xml:space="preserve">хлопок 100%</t>
        </is>
      </c>
      <c r="J675" t="inlineStr">
        <is>
          <t xml:space="preserve">демисезон</t>
        </is>
      </c>
      <c r="K675" t="inlineStr">
        <is>
          <t xml:space="preserve">Бангладеш</t>
        </is>
      </c>
      <c r="L675" t="inlineStr">
        <is>
          <t xml:space="preserve">6110209100</t>
        </is>
      </c>
      <c r="M675" t="inlineStr">
        <is>
          <t xml:space="preserve">Декларация № ЕАЭС № BY/112 11.01. ТР017 122.01 08246, до 19.04.2028</t>
        </is>
      </c>
      <c r="N675" t="inlineStr">
        <is>
          <t xml:space="preserve">39 × 30 × 2</t>
        </is>
      </c>
      <c r="O675" t="inlineStr">
        <is>
          <t xml:space="preserve">0,32</t>
        </is>
      </c>
      <c r="P675" t="inlineStr">
        <is>
          <t xml:space="preserve">4816148116536</t>
        </is>
      </c>
      <c r="Q675" s="3" t="str">
        <f>HYPERLINK("https://modify.by/img/181382948/1.webp","фото")</f>
        <v>фото</v>
      </c>
      <c r="R675" s="3" t="str">
        <f>HYPERLINK("https://modify.by/catalog/vodolazki/181382948/?utm_source=price&amp;utm_medium=xlsx","открыть")</f>
        <v>открыть</v>
      </c>
    </row>
    <row r="676">
      <c r="A676" t="inlineStr">
        <is>
          <t xml:space="preserve">Мужской</t>
        </is>
      </c>
      <c r="B676" t="inlineStr">
        <is>
          <t xml:space="preserve">Джемперы</t>
        </is>
      </c>
      <c r="C676" t="inlineStr">
        <is>
          <t xml:space="preserve">Джемпер базовый офисный хлопковый</t>
        </is>
      </c>
      <c r="D676" t="inlineStr">
        <is>
          <t xml:space="preserve">SW42M08черный</t>
        </is>
      </c>
      <c r="E676" t="inlineStr">
        <is>
          <t xml:space="preserve">черный</t>
        </is>
      </c>
      <c r="F676" t="inlineStr">
        <is>
          <t xml:space="preserve">56</t>
        </is>
      </c>
      <c r="G676">
        <v>81</v>
      </c>
      <c r="H676" s="2">
        <v>33.0</v>
      </c>
      <c r="I676" t="inlineStr">
        <is>
          <t xml:space="preserve">100% хлопок</t>
        </is>
      </c>
      <c r="J676" t="inlineStr">
        <is>
          <t xml:space="preserve">демисезон</t>
        </is>
      </c>
      <c r="K676" t="inlineStr">
        <is>
          <t xml:space="preserve">Бангладеш</t>
        </is>
      </c>
      <c r="L676" t="inlineStr">
        <is>
          <t xml:space="preserve">6110309100</t>
        </is>
      </c>
      <c r="M676" t="inlineStr">
        <is>
          <t xml:space="preserve">Декларация № ЕАЭС № BY/112 11.01. ТР017 122.01 08246, до 19.04.2028</t>
        </is>
      </c>
      <c r="N676" t="inlineStr">
        <is>
          <t xml:space="preserve">35 × 25 × 2</t>
        </is>
      </c>
      <c r="O676" t="inlineStr">
        <is>
          <t xml:space="preserve">0,2</t>
        </is>
      </c>
      <c r="P676" t="inlineStr">
        <is>
          <t xml:space="preserve">4816148147400</t>
        </is>
      </c>
      <c r="Q676" s="3" t="str">
        <f>HYPERLINK("https://modify.by/img/258242633/1.webp","фото")</f>
        <v>фото</v>
      </c>
      <c r="R676" s="3" t="str">
        <f>HYPERLINK("https://modify.by/catalog/dzhempery/258242633/?utm_source=price&amp;utm_medium=xlsx","открыть")</f>
        <v>открыть</v>
      </c>
    </row>
    <row r="677">
      <c r="A677" t="inlineStr">
        <is>
          <t xml:space="preserve">Мужской</t>
        </is>
      </c>
      <c r="B677" t="inlineStr">
        <is>
          <t xml:space="preserve">Джемперы</t>
        </is>
      </c>
      <c r="C677" t="inlineStr">
        <is>
          <t xml:space="preserve">Джемпер базовый теплый хлопковый</t>
        </is>
      </c>
      <c r="D677" t="inlineStr">
        <is>
          <t xml:space="preserve">SW32M22Серый</t>
        </is>
      </c>
      <c r="E677" t="inlineStr">
        <is>
          <t xml:space="preserve">серый</t>
        </is>
      </c>
      <c r="F677" t="inlineStr">
        <is>
          <t xml:space="preserve">56</t>
        </is>
      </c>
      <c r="G677">
        <v>23</v>
      </c>
      <c r="H677" s="2">
        <v>33.0</v>
      </c>
      <c r="I677" t="inlineStr">
        <is>
          <t xml:space="preserve">хлопок 100%</t>
        </is>
      </c>
      <c r="J677"/>
      <c r="K677" t="inlineStr">
        <is>
          <t xml:space="preserve">Бангладеш</t>
        </is>
      </c>
      <c r="L677" t="inlineStr">
        <is>
          <t xml:space="preserve">6110209100</t>
        </is>
      </c>
      <c r="M677" t="inlineStr">
        <is>
          <t xml:space="preserve">Декларация № ЕАЭС № BY/112 11.01. ТР017 122.01 08246, до 19.04.2028</t>
        </is>
      </c>
      <c r="N677" t="inlineStr">
        <is>
          <t xml:space="preserve">35 × 30 × 4</t>
        </is>
      </c>
      <c r="O677" t="inlineStr">
        <is>
          <t xml:space="preserve">0,37</t>
        </is>
      </c>
      <c r="P677" t="inlineStr">
        <is>
          <t xml:space="preserve">2026620748878</t>
        </is>
      </c>
      <c r="Q677" s="3" t="str">
        <f>HYPERLINK("https://modify.by/img/164145369/1.webp","фото")</f>
        <v>фото</v>
      </c>
      <c r="R677" s="3" t="str">
        <f>HYPERLINK("https://modify.by/catalog/dzhempery/164145369/?utm_source=price&amp;utm_medium=xlsx","открыть")</f>
        <v>открыть</v>
      </c>
    </row>
    <row r="678">
      <c r="A678" t="inlineStr">
        <is>
          <t xml:space="preserve">Мужской</t>
        </is>
      </c>
      <c r="B678" t="inlineStr">
        <is>
          <t xml:space="preserve">Джемперы</t>
        </is>
      </c>
      <c r="C678" t="inlineStr">
        <is>
          <t xml:space="preserve">Джемпер базовый теплый хлопковый</t>
        </is>
      </c>
      <c r="D678" t="inlineStr">
        <is>
          <t xml:space="preserve">SW32M22Серый</t>
        </is>
      </c>
      <c r="E678" t="inlineStr">
        <is>
          <t xml:space="preserve">серый</t>
        </is>
      </c>
      <c r="F678" t="inlineStr">
        <is>
          <t xml:space="preserve">56</t>
        </is>
      </c>
      <c r="G678">
        <v>23</v>
      </c>
      <c r="H678" s="2">
        <v>33.0</v>
      </c>
      <c r="I678" t="inlineStr">
        <is>
          <t xml:space="preserve">хлопок 100%</t>
        </is>
      </c>
      <c r="J678"/>
      <c r="K678" t="inlineStr">
        <is>
          <t xml:space="preserve">Бангладеш</t>
        </is>
      </c>
      <c r="L678" t="inlineStr">
        <is>
          <t xml:space="preserve">6110209100</t>
        </is>
      </c>
      <c r="M678" t="inlineStr">
        <is>
          <t xml:space="preserve">Декларация № ЕАЭС № BY/112 11.01. ТР017 122.01 08246, до 19.04.2028</t>
        </is>
      </c>
      <c r="N678" t="inlineStr">
        <is>
          <t xml:space="preserve">35 × 30 × 4</t>
        </is>
      </c>
      <c r="O678" t="inlineStr">
        <is>
          <t xml:space="preserve">0,37</t>
        </is>
      </c>
      <c r="P678" t="inlineStr">
        <is>
          <t xml:space="preserve">4816148139603</t>
        </is>
      </c>
      <c r="Q678" s="3" t="str">
        <f>HYPERLINK("https://modify.by/img/164145369/1.webp","фото")</f>
        <v>фото</v>
      </c>
      <c r="R678" s="3" t="str">
        <f>HYPERLINK("https://modify.by/catalog/dzhempery/164145369/?utm_source=price&amp;utm_medium=xlsx","открыть")</f>
        <v>открыть</v>
      </c>
    </row>
    <row r="679">
      <c r="A679" t="inlineStr">
        <is>
          <t xml:space="preserve">Мужской</t>
        </is>
      </c>
      <c r="B679" t="inlineStr">
        <is>
          <t xml:space="preserve">Джемперы</t>
        </is>
      </c>
      <c r="C679" t="inlineStr">
        <is>
          <t xml:space="preserve">Джемпер с высоким горлом на молнии</t>
        </is>
      </c>
      <c r="D679" t="inlineStr">
        <is>
          <t xml:space="preserve">SW32M371черный</t>
        </is>
      </c>
      <c r="E679" t="inlineStr">
        <is>
          <t xml:space="preserve">черный</t>
        </is>
      </c>
      <c r="F679" t="inlineStr">
        <is>
          <t xml:space="preserve">52</t>
        </is>
      </c>
      <c r="G679">
        <v>1</v>
      </c>
      <c r="H679" s="2">
        <v>42.0</v>
      </c>
      <c r="I679" t="inlineStr">
        <is>
          <t xml:space="preserve">100% хлопок</t>
        </is>
      </c>
      <c r="J679" t="inlineStr">
        <is>
          <t xml:space="preserve">Демисезон</t>
        </is>
      </c>
      <c r="K679" t="inlineStr">
        <is>
          <t xml:space="preserve">Бангладеш</t>
        </is>
      </c>
      <c r="L679" t="inlineStr">
        <is>
          <t xml:space="preserve">6110209100</t>
        </is>
      </c>
      <c r="M679" t="inlineStr">
        <is>
          <t xml:space="preserve">Декларация № ЕАЭС № BY/112 11.01. ТР017 122.01 08246, до 19.04.2028</t>
        </is>
      </c>
      <c r="N679" t="inlineStr">
        <is>
          <t xml:space="preserve">35 × 28 × 3</t>
        </is>
      </c>
      <c r="O679" t="inlineStr">
        <is>
          <t xml:space="preserve">0,41</t>
        </is>
      </c>
      <c r="P679" t="inlineStr">
        <is>
          <t xml:space="preserve">2038096180328</t>
        </is>
      </c>
      <c r="Q679" s="3" t="str">
        <f>HYPERLINK("https://modify.by/img/182987720/1.webp","фото")</f>
        <v>фото</v>
      </c>
      <c r="R679" s="3" t="str">
        <f>HYPERLINK("https://modify.by/catalog/dzhempery/182987720/?utm_source=price&amp;utm_medium=xlsx","открыть")</f>
        <v>открыть</v>
      </c>
    </row>
    <row r="680">
      <c r="A680" t="inlineStr">
        <is>
          <t xml:space="preserve">Мужской</t>
        </is>
      </c>
      <c r="B680" t="inlineStr">
        <is>
          <t xml:space="preserve">Джемперы</t>
        </is>
      </c>
      <c r="C680" t="inlineStr">
        <is>
          <t xml:space="preserve">Джемпер с высоким горлом на молнии</t>
        </is>
      </c>
      <c r="D680" t="inlineStr">
        <is>
          <t xml:space="preserve">SW32M371черный</t>
        </is>
      </c>
      <c r="E680" t="inlineStr">
        <is>
          <t xml:space="preserve">черный</t>
        </is>
      </c>
      <c r="F680" t="inlineStr">
        <is>
          <t xml:space="preserve">52</t>
        </is>
      </c>
      <c r="G680">
        <v>1</v>
      </c>
      <c r="H680" s="2">
        <v>42.0</v>
      </c>
      <c r="I680" t="inlineStr">
        <is>
          <t xml:space="preserve">100% хлопок</t>
        </is>
      </c>
      <c r="J680" t="inlineStr">
        <is>
          <t xml:space="preserve">Демисезон</t>
        </is>
      </c>
      <c r="K680" t="inlineStr">
        <is>
          <t xml:space="preserve">Бангладеш</t>
        </is>
      </c>
      <c r="L680" t="inlineStr">
        <is>
          <t xml:space="preserve">6110209100</t>
        </is>
      </c>
      <c r="M680" t="inlineStr">
        <is>
          <t xml:space="preserve">Декларация № ЕАЭС № BY/112 11.01. ТР017 122.01 08246, до 19.04.2028</t>
        </is>
      </c>
      <c r="N680" t="inlineStr">
        <is>
          <t xml:space="preserve">35 × 28 × 3</t>
        </is>
      </c>
      <c r="O680" t="inlineStr">
        <is>
          <t xml:space="preserve">0,41</t>
        </is>
      </c>
      <c r="P680" t="inlineStr">
        <is>
          <t xml:space="preserve">4816148124920</t>
        </is>
      </c>
      <c r="Q680" s="3" t="str">
        <f>HYPERLINK("https://modify.by/img/182987720/1.webp","фото")</f>
        <v>фото</v>
      </c>
      <c r="R680" s="3" t="str">
        <f>HYPERLINK("https://modify.by/catalog/dzhempery/182987720/?utm_source=price&amp;utm_medium=xlsx","открыть")</f>
        <v>открыть</v>
      </c>
    </row>
    <row r="681">
      <c r="A681" t="inlineStr">
        <is>
          <t xml:space="preserve">Мужской</t>
        </is>
      </c>
      <c r="B681" t="inlineStr">
        <is>
          <t xml:space="preserve">Джемперы</t>
        </is>
      </c>
      <c r="C681" t="inlineStr">
        <is>
          <t xml:space="preserve">Джемпер с высоким горлом на молнии</t>
        </is>
      </c>
      <c r="D681" t="inlineStr">
        <is>
          <t xml:space="preserve">SW32M371черный</t>
        </is>
      </c>
      <c r="E681" t="inlineStr">
        <is>
          <t xml:space="preserve">черный</t>
        </is>
      </c>
      <c r="F681" t="inlineStr">
        <is>
          <t xml:space="preserve">56</t>
        </is>
      </c>
      <c r="G681">
        <v>1</v>
      </c>
      <c r="H681" s="2">
        <v>42.0</v>
      </c>
      <c r="I681" t="inlineStr">
        <is>
          <t xml:space="preserve">100% хлопок</t>
        </is>
      </c>
      <c r="J681" t="inlineStr">
        <is>
          <t xml:space="preserve">Демисезон</t>
        </is>
      </c>
      <c r="K681" t="inlineStr">
        <is>
          <t xml:space="preserve">Бангладеш</t>
        </is>
      </c>
      <c r="L681" t="inlineStr">
        <is>
          <t xml:space="preserve">6110209100</t>
        </is>
      </c>
      <c r="M681" t="inlineStr">
        <is>
          <t xml:space="preserve">Декларация № ЕАЭС № BY/112 11.01. ТР017 122.01 08246, до 19.04.2028</t>
        </is>
      </c>
      <c r="N681" t="inlineStr">
        <is>
          <t xml:space="preserve">35 × 28 × 3</t>
        </is>
      </c>
      <c r="O681" t="inlineStr">
        <is>
          <t xml:space="preserve">0,41</t>
        </is>
      </c>
      <c r="P681" t="inlineStr">
        <is>
          <t xml:space="preserve">2038096180342</t>
        </is>
      </c>
      <c r="Q681" s="3" t="str">
        <f>HYPERLINK("https://modify.by/img/182987720/1.webp","фото")</f>
        <v>фото</v>
      </c>
      <c r="R681" s="3" t="str">
        <f>HYPERLINK("https://modify.by/catalog/dzhempery/182987720/?utm_source=price&amp;utm_medium=xlsx","открыть")</f>
        <v>открыть</v>
      </c>
    </row>
    <row r="682">
      <c r="A682" t="inlineStr">
        <is>
          <t xml:space="preserve">Мужской</t>
        </is>
      </c>
      <c r="B682" t="inlineStr">
        <is>
          <t xml:space="preserve">Джемперы</t>
        </is>
      </c>
      <c r="C682" t="inlineStr">
        <is>
          <t xml:space="preserve">Джемпер с высоким горлом на молнии</t>
        </is>
      </c>
      <c r="D682" t="inlineStr">
        <is>
          <t xml:space="preserve">SW32M371черный</t>
        </is>
      </c>
      <c r="E682" t="inlineStr">
        <is>
          <t xml:space="preserve">черный</t>
        </is>
      </c>
      <c r="F682" t="inlineStr">
        <is>
          <t xml:space="preserve">56</t>
        </is>
      </c>
      <c r="G682">
        <v>1</v>
      </c>
      <c r="H682" s="2">
        <v>42.0</v>
      </c>
      <c r="I682" t="inlineStr">
        <is>
          <t xml:space="preserve">100% хлопок</t>
        </is>
      </c>
      <c r="J682" t="inlineStr">
        <is>
          <t xml:space="preserve">Демисезон</t>
        </is>
      </c>
      <c r="K682" t="inlineStr">
        <is>
          <t xml:space="preserve">Бангладеш</t>
        </is>
      </c>
      <c r="L682" t="inlineStr">
        <is>
          <t xml:space="preserve">6110209100</t>
        </is>
      </c>
      <c r="M682" t="inlineStr">
        <is>
          <t xml:space="preserve">Декларация № ЕАЭС № BY/112 11.01. ТР017 122.01 08246, до 19.04.2028</t>
        </is>
      </c>
      <c r="N682" t="inlineStr">
        <is>
          <t xml:space="preserve">35 × 28 × 3</t>
        </is>
      </c>
      <c r="O682" t="inlineStr">
        <is>
          <t xml:space="preserve">0,41</t>
        </is>
      </c>
      <c r="P682" t="inlineStr">
        <is>
          <t xml:space="preserve">4816148124944</t>
        </is>
      </c>
      <c r="Q682" s="3" t="str">
        <f>HYPERLINK("https://modify.by/img/182987720/1.webp","фото")</f>
        <v>фото</v>
      </c>
      <c r="R682" s="3" t="str">
        <f>HYPERLINK("https://modify.by/catalog/dzhempery/182987720/?utm_source=price&amp;utm_medium=xlsx","открыть")</f>
        <v>открыть</v>
      </c>
    </row>
    <row r="683">
      <c r="A683" t="inlineStr">
        <is>
          <t xml:space="preserve">Мужской</t>
        </is>
      </c>
      <c r="B683" t="inlineStr">
        <is>
          <t xml:space="preserve">Джемперы</t>
        </is>
      </c>
      <c r="C683" t="inlineStr">
        <is>
          <t xml:space="preserve">Джемпер теплый хлопковый</t>
        </is>
      </c>
      <c r="D683" t="inlineStr">
        <is>
          <t xml:space="preserve">SW32M22Темно-серый</t>
        </is>
      </c>
      <c r="E683" t="inlineStr">
        <is>
          <t xml:space="preserve">темно-серый</t>
        </is>
      </c>
      <c r="F683" t="inlineStr">
        <is>
          <t xml:space="preserve">54</t>
        </is>
      </c>
      <c r="G683">
        <v>9</v>
      </c>
      <c r="H683" s="2">
        <v>33.0</v>
      </c>
      <c r="I683" t="inlineStr">
        <is>
          <t xml:space="preserve">хлопок 100%</t>
        </is>
      </c>
      <c r="J683"/>
      <c r="K683" t="inlineStr">
        <is>
          <t xml:space="preserve">Бангладеш</t>
        </is>
      </c>
      <c r="L683" t="inlineStr">
        <is>
          <t xml:space="preserve">6110209100</t>
        </is>
      </c>
      <c r="M683" t="inlineStr">
        <is>
          <t xml:space="preserve">Декларация № ЕАЭС № BY/112 11.01. ТР017 122.01 08246, до 19.04.2028</t>
        </is>
      </c>
      <c r="N683" t="inlineStr">
        <is>
          <t xml:space="preserve">35 × 30 × 4</t>
        </is>
      </c>
      <c r="O683" t="inlineStr">
        <is>
          <t xml:space="preserve">0,37</t>
        </is>
      </c>
      <c r="P683" t="inlineStr">
        <is>
          <t xml:space="preserve">2026620748953</t>
        </is>
      </c>
      <c r="Q683" s="3" t="str">
        <f>HYPERLINK("https://modify.by/img/164145367/1.webp","фото")</f>
        <v>фото</v>
      </c>
      <c r="R683" s="3" t="str">
        <f>HYPERLINK("https://modify.by/catalog/dzhempery/164145367/?utm_source=price&amp;utm_medium=xlsx","открыть")</f>
        <v>открыть</v>
      </c>
    </row>
    <row r="684">
      <c r="A684" t="inlineStr">
        <is>
          <t xml:space="preserve">Мужской</t>
        </is>
      </c>
      <c r="B684" t="inlineStr">
        <is>
          <t xml:space="preserve">Джемперы</t>
        </is>
      </c>
      <c r="C684" t="inlineStr">
        <is>
          <t xml:space="preserve">Джемпер теплый хлопковый</t>
        </is>
      </c>
      <c r="D684" t="inlineStr">
        <is>
          <t xml:space="preserve">SW32M22Темно-серый</t>
        </is>
      </c>
      <c r="E684" t="inlineStr">
        <is>
          <t xml:space="preserve">темно-серый</t>
        </is>
      </c>
      <c r="F684" t="inlineStr">
        <is>
          <t xml:space="preserve">54</t>
        </is>
      </c>
      <c r="G684">
        <v>9</v>
      </c>
      <c r="H684" s="2">
        <v>33.0</v>
      </c>
      <c r="I684" t="inlineStr">
        <is>
          <t xml:space="preserve">хлопок 100%</t>
        </is>
      </c>
      <c r="J684"/>
      <c r="K684" t="inlineStr">
        <is>
          <t xml:space="preserve">Бангладеш</t>
        </is>
      </c>
      <c r="L684" t="inlineStr">
        <is>
          <t xml:space="preserve">6110209100</t>
        </is>
      </c>
      <c r="M684" t="inlineStr">
        <is>
          <t xml:space="preserve">Декларация № ЕАЭС № BY/112 11.01. ТР017 122.01 08246, до 19.04.2028</t>
        </is>
      </c>
      <c r="N684" t="inlineStr">
        <is>
          <t xml:space="preserve">35 × 30 × 4</t>
        </is>
      </c>
      <c r="O684" t="inlineStr">
        <is>
          <t xml:space="preserve">0,37</t>
        </is>
      </c>
      <c r="P684" t="inlineStr">
        <is>
          <t xml:space="preserve">4816148139559</t>
        </is>
      </c>
      <c r="Q684" s="3" t="str">
        <f>HYPERLINK("https://modify.by/img/164145367/1.webp","фото")</f>
        <v>фото</v>
      </c>
      <c r="R684" s="3" t="str">
        <f>HYPERLINK("https://modify.by/catalog/dzhempery/164145367/?utm_source=price&amp;utm_medium=xlsx","открыть")</f>
        <v>открыть</v>
      </c>
    </row>
    <row r="685">
      <c r="A685" t="inlineStr">
        <is>
          <t xml:space="preserve">Мужской</t>
        </is>
      </c>
      <c r="B685" t="inlineStr">
        <is>
          <t xml:space="preserve">Джемперы</t>
        </is>
      </c>
      <c r="C685" t="inlineStr">
        <is>
          <t xml:space="preserve">Джемпер теплый хлопковый</t>
        </is>
      </c>
      <c r="D685" t="inlineStr">
        <is>
          <t xml:space="preserve">SW32M22Темно-серый</t>
        </is>
      </c>
      <c r="E685" t="inlineStr">
        <is>
          <t xml:space="preserve">темно-серый</t>
        </is>
      </c>
      <c r="F685" t="inlineStr">
        <is>
          <t xml:space="preserve">56</t>
        </is>
      </c>
      <c r="G685">
        <v>5</v>
      </c>
      <c r="H685" s="2">
        <v>33.0</v>
      </c>
      <c r="I685" t="inlineStr">
        <is>
          <t xml:space="preserve">хлопок 100%</t>
        </is>
      </c>
      <c r="J685"/>
      <c r="K685" t="inlineStr">
        <is>
          <t xml:space="preserve">Бангладеш</t>
        </is>
      </c>
      <c r="L685" t="inlineStr">
        <is>
          <t xml:space="preserve">6110209100</t>
        </is>
      </c>
      <c r="M685" t="inlineStr">
        <is>
          <t xml:space="preserve">Декларация № ЕАЭС № BY/112 11.01. ТР017 122.01 08246, до 19.04.2028</t>
        </is>
      </c>
      <c r="N685" t="inlineStr">
        <is>
          <t xml:space="preserve">35 × 30 × 4</t>
        </is>
      </c>
      <c r="O685" t="inlineStr">
        <is>
          <t xml:space="preserve">0,37</t>
        </is>
      </c>
      <c r="P685" t="inlineStr">
        <is>
          <t xml:space="preserve">2026620748946</t>
        </is>
      </c>
      <c r="Q685" s="3" t="str">
        <f>HYPERLINK("https://modify.by/img/164145367/1.webp","фото")</f>
        <v>фото</v>
      </c>
      <c r="R685" s="3" t="str">
        <f>HYPERLINK("https://modify.by/catalog/dzhempery/164145367/?utm_source=price&amp;utm_medium=xlsx","открыть")</f>
        <v>открыть</v>
      </c>
    </row>
    <row r="686">
      <c r="A686" t="inlineStr">
        <is>
          <t xml:space="preserve">Мужской</t>
        </is>
      </c>
      <c r="B686" t="inlineStr">
        <is>
          <t xml:space="preserve">Джемперы</t>
        </is>
      </c>
      <c r="C686" t="inlineStr">
        <is>
          <t xml:space="preserve">Джемпер теплый хлопковый</t>
        </is>
      </c>
      <c r="D686" t="inlineStr">
        <is>
          <t xml:space="preserve">SW32M22Темно-серый</t>
        </is>
      </c>
      <c r="E686" t="inlineStr">
        <is>
          <t xml:space="preserve">темно-серый</t>
        </is>
      </c>
      <c r="F686" t="inlineStr">
        <is>
          <t xml:space="preserve">56</t>
        </is>
      </c>
      <c r="G686">
        <v>5</v>
      </c>
      <c r="H686" s="2">
        <v>33.0</v>
      </c>
      <c r="I686" t="inlineStr">
        <is>
          <t xml:space="preserve">хлопок 100%</t>
        </is>
      </c>
      <c r="J686"/>
      <c r="K686" t="inlineStr">
        <is>
          <t xml:space="preserve">Бангладеш</t>
        </is>
      </c>
      <c r="L686" t="inlineStr">
        <is>
          <t xml:space="preserve">6110209100</t>
        </is>
      </c>
      <c r="M686" t="inlineStr">
        <is>
          <t xml:space="preserve">Декларация № ЕАЭС № BY/112 11.01. ТР017 122.01 08246, до 19.04.2028</t>
        </is>
      </c>
      <c r="N686" t="inlineStr">
        <is>
          <t xml:space="preserve">35 × 30 × 4</t>
        </is>
      </c>
      <c r="O686" t="inlineStr">
        <is>
          <t xml:space="preserve">0,37</t>
        </is>
      </c>
      <c r="P686" t="inlineStr">
        <is>
          <t xml:space="preserve">4816148139566</t>
        </is>
      </c>
      <c r="Q686" s="3" t="str">
        <f>HYPERLINK("https://modify.by/img/164145367/1.webp","фото")</f>
        <v>фото</v>
      </c>
      <c r="R686" s="3" t="str">
        <f>HYPERLINK("https://modify.by/catalog/dzhempery/164145367/?utm_source=price&amp;utm_medium=xlsx","открыть")</f>
        <v>открыть</v>
      </c>
    </row>
    <row r="687">
      <c r="A687" t="inlineStr">
        <is>
          <t xml:space="preserve">Мужской</t>
        </is>
      </c>
      <c r="B687" t="inlineStr">
        <is>
          <t xml:space="preserve">Джемперы</t>
        </is>
      </c>
      <c r="C687" t="inlineStr">
        <is>
          <t xml:space="preserve">Джемпер хлопковый базовый, бордовый</t>
        </is>
      </c>
      <c r="D687" t="inlineStr">
        <is>
          <t xml:space="preserve">SW42M08бордовый</t>
        </is>
      </c>
      <c r="E687" t="inlineStr">
        <is>
          <t xml:space="preserve">бордовый</t>
        </is>
      </c>
      <c r="F687" t="inlineStr">
        <is>
          <t xml:space="preserve">56</t>
        </is>
      </c>
      <c r="G687">
        <v>31</v>
      </c>
      <c r="H687" s="2">
        <v>33.0</v>
      </c>
      <c r="I687" t="inlineStr">
        <is>
          <t xml:space="preserve">100% хлопок</t>
        </is>
      </c>
      <c r="J687" t="inlineStr">
        <is>
          <t xml:space="preserve">демисезон</t>
        </is>
      </c>
      <c r="K687" t="inlineStr">
        <is>
          <t xml:space="preserve">Бангладеш</t>
        </is>
      </c>
      <c r="L687" t="inlineStr">
        <is>
          <t xml:space="preserve">6110309100</t>
        </is>
      </c>
      <c r="M687" t="inlineStr">
        <is>
          <t xml:space="preserve">Декларация № ЕАЭС № BY/112 11.01. ТР017 122.01 08246, до 19.04.2028</t>
        </is>
      </c>
      <c r="N687" t="inlineStr">
        <is>
          <t xml:space="preserve">35 × 25 × 2</t>
        </is>
      </c>
      <c r="O687" t="inlineStr">
        <is>
          <t xml:space="preserve">0,2</t>
        </is>
      </c>
      <c r="P687" t="inlineStr">
        <is>
          <t xml:space="preserve">4816148147707</t>
        </is>
      </c>
      <c r="Q687" s="3" t="str">
        <f>HYPERLINK("https://modify.by/img/258242638/1.webp","фото")</f>
        <v>фото</v>
      </c>
      <c r="R687" s="3" t="str">
        <f>HYPERLINK("https://modify.by/catalog/dzhempery/258242638/?utm_source=price&amp;utm_medium=xlsx","открыть")</f>
        <v>открыть</v>
      </c>
    </row>
    <row r="688">
      <c r="A688" t="inlineStr">
        <is>
          <t xml:space="preserve">Мужской</t>
        </is>
      </c>
      <c r="B688" t="inlineStr">
        <is>
          <t xml:space="preserve">Джемперы</t>
        </is>
      </c>
      <c r="C688" t="inlineStr">
        <is>
          <t xml:space="preserve">Джемпер хлопковый базовый, темно-синий</t>
        </is>
      </c>
      <c r="D688" t="inlineStr">
        <is>
          <t xml:space="preserve">SW42M08темно-синий</t>
        </is>
      </c>
      <c r="E688" t="inlineStr">
        <is>
          <t xml:space="preserve">темно-синий</t>
        </is>
      </c>
      <c r="F688" t="inlineStr">
        <is>
          <t xml:space="preserve">56</t>
        </is>
      </c>
      <c r="G688">
        <v>9</v>
      </c>
      <c r="H688" s="2">
        <v>33.0</v>
      </c>
      <c r="I688" t="inlineStr">
        <is>
          <t xml:space="preserve">100% хлопок</t>
        </is>
      </c>
      <c r="J688" t="inlineStr">
        <is>
          <t xml:space="preserve">демисезон</t>
        </is>
      </c>
      <c r="K688" t="inlineStr">
        <is>
          <t xml:space="preserve">Бангладеш</t>
        </is>
      </c>
      <c r="L688" t="inlineStr">
        <is>
          <t xml:space="preserve">6110309100</t>
        </is>
      </c>
      <c r="M688" t="inlineStr">
        <is>
          <t xml:space="preserve">Декларация № ЕАЭС № BY/112 11.01. ТР017 122.01 08246, до 19.04.2028</t>
        </is>
      </c>
      <c r="N688" t="inlineStr">
        <is>
          <t xml:space="preserve">35 × 25 × 2</t>
        </is>
      </c>
      <c r="O688" t="inlineStr">
        <is>
          <t xml:space="preserve">0,2</t>
        </is>
      </c>
      <c r="P688" t="inlineStr">
        <is>
          <t xml:space="preserve">4816148147462</t>
        </is>
      </c>
      <c r="Q688" s="3" t="str">
        <f>HYPERLINK("https://modify.by/img/258242634/1.webp","фото")</f>
        <v>фото</v>
      </c>
      <c r="R688" s="3" t="str">
        <f>HYPERLINK("https://modify.by/catalog/dzhempery/258242634/?utm_source=price&amp;utm_medium=xlsx","открыть")</f>
        <v>открыть</v>
      </c>
    </row>
    <row r="689">
      <c r="A689" t="inlineStr">
        <is>
          <t xml:space="preserve">Мужской</t>
        </is>
      </c>
      <c r="B689" t="inlineStr">
        <is>
          <t xml:space="preserve">Джемперы</t>
        </is>
      </c>
      <c r="C689" t="inlineStr">
        <is>
          <t xml:space="preserve">Классический джемпер с V-образным вырезом, темно-серый</t>
        </is>
      </c>
      <c r="D689" t="inlineStr">
        <is>
          <t xml:space="preserve">SW42M01темно-серый</t>
        </is>
      </c>
      <c r="E689" t="inlineStr">
        <is>
          <t xml:space="preserve">темно-серый</t>
        </is>
      </c>
      <c r="F689" t="inlineStr">
        <is>
          <t xml:space="preserve">46/182</t>
        </is>
      </c>
      <c r="G689">
        <v>6</v>
      </c>
      <c r="H689" s="2">
        <v>30.0</v>
      </c>
      <c r="I689" t="inlineStr">
        <is>
          <t xml:space="preserve">хлопок 80% нейлон 20%</t>
        </is>
      </c>
      <c r="J689" t="inlineStr">
        <is>
          <t xml:space="preserve">зима</t>
        </is>
      </c>
      <c r="K689" t="inlineStr">
        <is>
          <t xml:space="preserve">Бангладеш</t>
        </is>
      </c>
      <c r="L689" t="inlineStr">
        <is>
          <t xml:space="preserve">6110209100</t>
        </is>
      </c>
      <c r="M689" t="inlineStr">
        <is>
          <t xml:space="preserve">Декларация № ЕАЭС № BY/112 11.01. ТР017 122.01 08246, до 19.04.2028</t>
        </is>
      </c>
      <c r="N689" t="inlineStr">
        <is>
          <t xml:space="preserve">30 × 26 × 2</t>
        </is>
      </c>
      <c r="O689" t="inlineStr">
        <is>
          <t xml:space="preserve">0,35</t>
        </is>
      </c>
      <c r="P689" t="inlineStr">
        <is>
          <t xml:space="preserve">4816148146106</t>
        </is>
      </c>
      <c r="Q689" s="3" t="str">
        <f>HYPERLINK("https://modify.by/img/268692318/1.webp","фото")</f>
        <v>фото</v>
      </c>
      <c r="R689" s="3" t="str">
        <f>HYPERLINK("https://modify.by/catalog/dzhempery/268692318/?utm_source=price&amp;utm_medium=xlsx","открыть")</f>
        <v>открыть</v>
      </c>
    </row>
    <row r="690">
      <c r="A690" t="inlineStr">
        <is>
          <t xml:space="preserve">Мужской</t>
        </is>
      </c>
      <c r="B690" t="inlineStr">
        <is>
          <t xml:space="preserve">Джемперы</t>
        </is>
      </c>
      <c r="C690" t="inlineStr">
        <is>
          <t xml:space="preserve">Классический джемпер с V-образным вырезом, темно-серый</t>
        </is>
      </c>
      <c r="D690" t="inlineStr">
        <is>
          <t xml:space="preserve">SW42M01темно-серый</t>
        </is>
      </c>
      <c r="E690" t="inlineStr">
        <is>
          <t xml:space="preserve">темно-серый</t>
        </is>
      </c>
      <c r="F690" t="inlineStr">
        <is>
          <t xml:space="preserve">48/182</t>
        </is>
      </c>
      <c r="G690">
        <v>17</v>
      </c>
      <c r="H690" s="2">
        <v>30.0</v>
      </c>
      <c r="I690" t="inlineStr">
        <is>
          <t xml:space="preserve">хлопок 80% нейлон 20%</t>
        </is>
      </c>
      <c r="J690" t="inlineStr">
        <is>
          <t xml:space="preserve">зима</t>
        </is>
      </c>
      <c r="K690" t="inlineStr">
        <is>
          <t xml:space="preserve">Бангладеш</t>
        </is>
      </c>
      <c r="L690" t="inlineStr">
        <is>
          <t xml:space="preserve">6110209100</t>
        </is>
      </c>
      <c r="M690" t="inlineStr">
        <is>
          <t xml:space="preserve">Декларация № ЕАЭС № BY/112 11.01. ТР017 122.01 08246, до 19.04.2028</t>
        </is>
      </c>
      <c r="N690" t="inlineStr">
        <is>
          <t xml:space="preserve">30 × 26 × 2</t>
        </is>
      </c>
      <c r="O690" t="inlineStr">
        <is>
          <t xml:space="preserve">0,35</t>
        </is>
      </c>
      <c r="P690" t="inlineStr">
        <is>
          <t xml:space="preserve">4816148146113</t>
        </is>
      </c>
      <c r="Q690" s="3" t="str">
        <f>HYPERLINK("https://modify.by/img/268692318/1.webp","фото")</f>
        <v>фото</v>
      </c>
      <c r="R690" s="3" t="str">
        <f>HYPERLINK("https://modify.by/catalog/dzhempery/268692318/?utm_source=price&amp;utm_medium=xlsx","открыть")</f>
        <v>открыть</v>
      </c>
    </row>
    <row r="691">
      <c r="A691" t="inlineStr">
        <is>
          <t xml:space="preserve">Мужской</t>
        </is>
      </c>
      <c r="B691" t="inlineStr">
        <is>
          <t xml:space="preserve">Джемперы</t>
        </is>
      </c>
      <c r="C691" t="inlineStr">
        <is>
          <t xml:space="preserve">Классический джемпер с V-образным вырезом, темно-синий</t>
        </is>
      </c>
      <c r="D691" t="inlineStr">
        <is>
          <t xml:space="preserve">SW42M01темно-синий</t>
        </is>
      </c>
      <c r="E691" t="inlineStr">
        <is>
          <t xml:space="preserve">темно-синий</t>
        </is>
      </c>
      <c r="F691" t="inlineStr">
        <is>
          <t xml:space="preserve">50/182</t>
        </is>
      </c>
      <c r="G691">
        <v>5</v>
      </c>
      <c r="H691" s="2">
        <v>30.0</v>
      </c>
      <c r="I691" t="inlineStr">
        <is>
          <t xml:space="preserve">хлопок 80% нейлон 20%</t>
        </is>
      </c>
      <c r="J691" t="inlineStr">
        <is>
          <t xml:space="preserve">круглогодичный</t>
        </is>
      </c>
      <c r="K691" t="inlineStr">
        <is>
          <t xml:space="preserve">Бангладеш</t>
        </is>
      </c>
      <c r="L691" t="inlineStr">
        <is>
          <t xml:space="preserve">6110209100</t>
        </is>
      </c>
      <c r="M691" t="inlineStr">
        <is>
          <t xml:space="preserve">Декларация № ЕАЭС № BY/112 11.01. ТР017 122.01 08246, до 19.04.2028</t>
        </is>
      </c>
      <c r="N691" t="inlineStr">
        <is>
          <t xml:space="preserve">30 × 26 × 2</t>
        </is>
      </c>
      <c r="O691" t="inlineStr">
        <is>
          <t xml:space="preserve">0,35</t>
        </is>
      </c>
      <c r="P691" t="inlineStr">
        <is>
          <t xml:space="preserve">4816148145949</t>
        </is>
      </c>
      <c r="Q691" s="3" t="str">
        <f>HYPERLINK("https://modify.by/img/268692314/1.webp","фото")</f>
        <v>фото</v>
      </c>
      <c r="R691" s="3" t="str">
        <f>HYPERLINK("https://modify.by/catalog/dzhempery/268692314/?utm_source=price&amp;utm_medium=xlsx","открыть")</f>
        <v>открыть</v>
      </c>
    </row>
    <row r="692">
      <c r="A692" t="inlineStr">
        <is>
          <t xml:space="preserve">Мужской</t>
        </is>
      </c>
      <c r="B692" t="inlineStr">
        <is>
          <t xml:space="preserve">Джемперы</t>
        </is>
      </c>
      <c r="C692" t="inlineStr">
        <is>
          <t xml:space="preserve">джемпер с V-вырезом</t>
        </is>
      </c>
      <c r="D692" t="inlineStr">
        <is>
          <t xml:space="preserve">SW52M01Темно-синий</t>
        </is>
      </c>
      <c r="E692" t="inlineStr">
        <is>
          <t xml:space="preserve">темно-синий</t>
        </is>
      </c>
      <c r="F692" t="inlineStr">
        <is>
          <t xml:space="preserve">46</t>
        </is>
      </c>
      <c r="G692">
        <v>33</v>
      </c>
      <c r="H692" s="2">
        <v>33.0</v>
      </c>
      <c r="I692" t="inlineStr">
        <is>
          <t xml:space="preserve">хлопок 88% полиамид 12%</t>
        </is>
      </c>
      <c r="J692" t="inlineStr">
        <is>
          <t xml:space="preserve">круглогодичный</t>
        </is>
      </c>
      <c r="K692" t="inlineStr">
        <is>
          <t xml:space="preserve">Бангладеш</t>
        </is>
      </c>
      <c r="L692" t="inlineStr">
        <is>
          <t xml:space="preserve">6110209100</t>
        </is>
      </c>
      <c r="M692" t="inlineStr">
        <is>
          <t xml:space="preserve">Декларация № ЕАЭС № BY/112 11.01. ТР017 122.01 08246, до 19.04.2028</t>
        </is>
      </c>
      <c r="N692" t="inlineStr">
        <is>
          <t xml:space="preserve">39 × 30 × 2</t>
        </is>
      </c>
      <c r="O692" t="inlineStr">
        <is>
          <t xml:space="preserve">0,35</t>
        </is>
      </c>
      <c r="P692" t="inlineStr">
        <is>
          <t xml:space="preserve">4816148164056</t>
        </is>
      </c>
      <c r="Q692" s="3" t="str">
        <f>HYPERLINK("https://modify.by/img/155911489/1.webp","фото")</f>
        <v>фото</v>
      </c>
      <c r="R692" s="3" t="str">
        <f>HYPERLINK("https://modify.by/catalog/dzhempery/155911489/?utm_source=price&amp;utm_medium=xlsx","открыть")</f>
        <v>открыть</v>
      </c>
    </row>
    <row r="693">
      <c r="A693" t="inlineStr">
        <is>
          <t xml:space="preserve">Мужской</t>
        </is>
      </c>
      <c r="B693" t="inlineStr">
        <is>
          <t xml:space="preserve">Джемперы</t>
        </is>
      </c>
      <c r="C693" t="inlineStr">
        <is>
          <t xml:space="preserve">джемпер с V-вырезом</t>
        </is>
      </c>
      <c r="D693" t="inlineStr">
        <is>
          <t xml:space="preserve">SW52M01Темно-синий</t>
        </is>
      </c>
      <c r="E693" t="inlineStr">
        <is>
          <t xml:space="preserve">темно-синий</t>
        </is>
      </c>
      <c r="F693" t="inlineStr">
        <is>
          <t xml:space="preserve">48</t>
        </is>
      </c>
      <c r="G693">
        <v>11</v>
      </c>
      <c r="H693" s="2">
        <v>33.0</v>
      </c>
      <c r="I693" t="inlineStr">
        <is>
          <t xml:space="preserve">хлопок 88% полиамид 12%</t>
        </is>
      </c>
      <c r="J693" t="inlineStr">
        <is>
          <t xml:space="preserve">круглогодичный</t>
        </is>
      </c>
      <c r="K693" t="inlineStr">
        <is>
          <t xml:space="preserve">Бангладеш</t>
        </is>
      </c>
      <c r="L693" t="inlineStr">
        <is>
          <t xml:space="preserve">6110209100</t>
        </is>
      </c>
      <c r="M693" t="inlineStr">
        <is>
          <t xml:space="preserve">Декларация № ЕАЭС № BY/112 11.01. ТР017 122.01 08246, до 19.04.2028</t>
        </is>
      </c>
      <c r="N693" t="inlineStr">
        <is>
          <t xml:space="preserve">39 × 30 × 2</t>
        </is>
      </c>
      <c r="O693" t="inlineStr">
        <is>
          <t xml:space="preserve">0,35</t>
        </is>
      </c>
      <c r="P693" t="inlineStr">
        <is>
          <t xml:space="preserve">4816148164063</t>
        </is>
      </c>
      <c r="Q693" s="3" t="str">
        <f>HYPERLINK("https://modify.by/img/155911489/1.webp","фото")</f>
        <v>фото</v>
      </c>
      <c r="R693" s="3" t="str">
        <f>HYPERLINK("https://modify.by/catalog/dzhempery/155911489/?utm_source=price&amp;utm_medium=xlsx","открыть")</f>
        <v>открыть</v>
      </c>
    </row>
    <row r="694">
      <c r="A694" t="inlineStr">
        <is>
          <t xml:space="preserve">Мужской</t>
        </is>
      </c>
      <c r="B694" t="inlineStr">
        <is>
          <t xml:space="preserve">Джемперы</t>
        </is>
      </c>
      <c r="C694" t="inlineStr">
        <is>
          <t xml:space="preserve">свитер с круглым горлом базовый</t>
        </is>
      </c>
      <c r="D694" t="inlineStr">
        <is>
          <t xml:space="preserve">SW32M36Черный</t>
        </is>
      </c>
      <c r="E694" t="inlineStr">
        <is>
          <t xml:space="preserve">черный</t>
        </is>
      </c>
      <c r="F694" t="inlineStr">
        <is>
          <t xml:space="preserve">xxl</t>
        </is>
      </c>
      <c r="G694">
        <v>8</v>
      </c>
      <c r="H694" s="2">
        <v>42.0</v>
      </c>
      <c r="I694" t="inlineStr">
        <is>
          <t xml:space="preserve">хлопок 100%</t>
        </is>
      </c>
      <c r="J694"/>
      <c r="K694" t="inlineStr">
        <is>
          <t xml:space="preserve">Бангладеш</t>
        </is>
      </c>
      <c r="L694" t="inlineStr">
        <is>
          <t xml:space="preserve">6110209100</t>
        </is>
      </c>
      <c r="M694" t="inlineStr">
        <is>
          <t xml:space="preserve">Декларация № ЕАЭС № BY/112 11.01. ТР017 122.01 08246, до 19.04.2028</t>
        </is>
      </c>
      <c r="N694" t="inlineStr">
        <is>
          <t xml:space="preserve">40 × 31 × 3</t>
        </is>
      </c>
      <c r="O694" t="inlineStr">
        <is>
          <t xml:space="preserve">0,55</t>
        </is>
      </c>
      <c r="P694" t="inlineStr">
        <is>
          <t xml:space="preserve">4816148116444</t>
        </is>
      </c>
      <c r="Q694" s="3" t="str">
        <f>HYPERLINK("https://modify.by/img/171139964/1.webp","фото")</f>
        <v>фото</v>
      </c>
      <c r="R694" s="3" t="str">
        <f>HYPERLINK("https://modify.by/catalog/dzhempery/171139964/?utm_source=price&amp;utm_medium=xlsx","открыть")</f>
        <v>открыть</v>
      </c>
    </row>
    <row r="695">
      <c r="A695" t="inlineStr">
        <is>
          <t xml:space="preserve">Мужской</t>
        </is>
      </c>
      <c r="B695" t="inlineStr">
        <is>
          <t xml:space="preserve">Джинсы</t>
        </is>
      </c>
      <c r="C695" t="inlineStr">
        <is>
          <t xml:space="preserve">Брюки из лёгкого денима, песочный</t>
        </is>
      </c>
      <c r="D695" t="inlineStr">
        <is>
          <t xml:space="preserve">PA42M03песочный</t>
        </is>
      </c>
      <c r="E695" t="inlineStr">
        <is>
          <t xml:space="preserve">песочный</t>
        </is>
      </c>
      <c r="F695" t="inlineStr">
        <is>
          <t xml:space="preserve">44/176</t>
        </is>
      </c>
      <c r="G695">
        <v>1</v>
      </c>
      <c r="H695" s="2">
        <v>58.0</v>
      </c>
      <c r="I695" t="inlineStr">
        <is>
          <t xml:space="preserve">Хлопок 98%, эластан 2%</t>
        </is>
      </c>
      <c r="J695" t="inlineStr">
        <is>
          <t xml:space="preserve">круглогодичный</t>
        </is>
      </c>
      <c r="K695" t="inlineStr">
        <is>
          <t xml:space="preserve">Бангладеш</t>
        </is>
      </c>
      <c r="L695" t="inlineStr">
        <is>
          <t xml:space="preserve">6203423500</t>
        </is>
      </c>
      <c r="M695" t="inlineStr">
        <is>
          <t xml:space="preserve">по запросу</t>
        </is>
      </c>
      <c r="N695"/>
      <c r="O695"/>
      <c r="P695" t="inlineStr">
        <is>
          <t xml:space="preserve">4816148151353</t>
        </is>
      </c>
      <c r="Q695" s="3" t="str">
        <f>HYPERLINK("https://modify.by/img/264200315/1.webp","фото")</f>
        <v>фото</v>
      </c>
      <c r="R695" s="3" t="str">
        <f>HYPERLINK("https://modify.by/catalog/dzhinsy/264200315/?utm_source=price&amp;utm_medium=xlsx","открыть")</f>
        <v>открыть</v>
      </c>
    </row>
    <row r="696">
      <c r="A696" t="inlineStr">
        <is>
          <t xml:space="preserve">Мужской</t>
        </is>
      </c>
      <c r="B696" t="inlineStr">
        <is>
          <t xml:space="preserve">Джинсы</t>
        </is>
      </c>
      <c r="C696" t="inlineStr">
        <is>
          <t xml:space="preserve">Брюки из лёгкого денима, серый</t>
        </is>
      </c>
      <c r="D696" t="inlineStr">
        <is>
          <t xml:space="preserve">PA42M03серый</t>
        </is>
      </c>
      <c r="E696" t="inlineStr">
        <is>
          <t xml:space="preserve">серый, графит</t>
        </is>
      </c>
      <c r="F696" t="inlineStr">
        <is>
          <t xml:space="preserve">46/176</t>
        </is>
      </c>
      <c r="G696">
        <v>9</v>
      </c>
      <c r="H696" s="2">
        <v>58.0</v>
      </c>
      <c r="I696" t="inlineStr">
        <is>
          <t xml:space="preserve">Хлопок 98%, эластан 2%</t>
        </is>
      </c>
      <c r="J696" t="inlineStr">
        <is>
          <t xml:space="preserve">круглогодичный</t>
        </is>
      </c>
      <c r="K696" t="inlineStr">
        <is>
          <t xml:space="preserve">Бангладеш</t>
        </is>
      </c>
      <c r="L696" t="inlineStr">
        <is>
          <t xml:space="preserve">6203423500</t>
        </is>
      </c>
      <c r="M696" t="inlineStr">
        <is>
          <t xml:space="preserve">по запросу</t>
        </is>
      </c>
      <c r="N696" t="inlineStr">
        <is>
          <t xml:space="preserve">35 × 25 × 2</t>
        </is>
      </c>
      <c r="O696" t="inlineStr">
        <is>
          <t xml:space="preserve">0,48</t>
        </is>
      </c>
      <c r="P696" t="inlineStr">
        <is>
          <t xml:space="preserve">4816148110756</t>
        </is>
      </c>
      <c r="Q696" s="3" t="str">
        <f>HYPERLINK("https://modify.by/img/264200313/1.webp","фото")</f>
        <v>фото</v>
      </c>
      <c r="R696" s="3" t="str">
        <f>HYPERLINK("https://modify.by/catalog/dzhinsy/264200313/?utm_source=price&amp;utm_medium=xlsx","открыть")</f>
        <v>открыть</v>
      </c>
    </row>
    <row r="697">
      <c r="A697" t="inlineStr">
        <is>
          <t xml:space="preserve">Мужской</t>
        </is>
      </c>
      <c r="B697" t="inlineStr">
        <is>
          <t xml:space="preserve">Джинсы</t>
        </is>
      </c>
      <c r="C697" t="inlineStr">
        <is>
          <t xml:space="preserve">Брюки из лёгкого денима, серый</t>
        </is>
      </c>
      <c r="D697" t="inlineStr">
        <is>
          <t xml:space="preserve">PA42M03серый</t>
        </is>
      </c>
      <c r="E697" t="inlineStr">
        <is>
          <t xml:space="preserve">серый, графит</t>
        </is>
      </c>
      <c r="F697" t="inlineStr">
        <is>
          <t xml:space="preserve">48/176</t>
        </is>
      </c>
      <c r="G697">
        <v>6</v>
      </c>
      <c r="H697" s="2">
        <v>58.0</v>
      </c>
      <c r="I697" t="inlineStr">
        <is>
          <t xml:space="preserve">Хлопок 98%, эластан 2%</t>
        </is>
      </c>
      <c r="J697" t="inlineStr">
        <is>
          <t xml:space="preserve">круглогодичный</t>
        </is>
      </c>
      <c r="K697" t="inlineStr">
        <is>
          <t xml:space="preserve">Бангладеш</t>
        </is>
      </c>
      <c r="L697" t="inlineStr">
        <is>
          <t xml:space="preserve">6203423500</t>
        </is>
      </c>
      <c r="M697" t="inlineStr">
        <is>
          <t xml:space="preserve">по запросу</t>
        </is>
      </c>
      <c r="N697" t="inlineStr">
        <is>
          <t xml:space="preserve">35 × 25 × 2</t>
        </is>
      </c>
      <c r="O697" t="inlineStr">
        <is>
          <t xml:space="preserve">0,48</t>
        </is>
      </c>
      <c r="P697" t="inlineStr">
        <is>
          <t xml:space="preserve">4816148110763</t>
        </is>
      </c>
      <c r="Q697" s="3" t="str">
        <f>HYPERLINK("https://modify.by/img/264200313/1.webp","фото")</f>
        <v>фото</v>
      </c>
      <c r="R697" s="3" t="str">
        <f>HYPERLINK("https://modify.by/catalog/dzhinsy/264200313/?utm_source=price&amp;utm_medium=xlsx","открыть")</f>
        <v>открыть</v>
      </c>
    </row>
    <row r="698">
      <c r="A698" t="inlineStr">
        <is>
          <t xml:space="preserve">Мужской</t>
        </is>
      </c>
      <c r="B698" t="inlineStr">
        <is>
          <t xml:space="preserve">Джинсы</t>
        </is>
      </c>
      <c r="C698" t="inlineStr">
        <is>
          <t xml:space="preserve">Брюки из лёгкого денима, серый</t>
        </is>
      </c>
      <c r="D698" t="inlineStr">
        <is>
          <t xml:space="preserve">PA42M03серый</t>
        </is>
      </c>
      <c r="E698" t="inlineStr">
        <is>
          <t xml:space="preserve">серый, графит</t>
        </is>
      </c>
      <c r="F698" t="inlineStr">
        <is>
          <t xml:space="preserve">50/182</t>
        </is>
      </c>
      <c r="G698">
        <v>3</v>
      </c>
      <c r="H698" s="2">
        <v>58.0</v>
      </c>
      <c r="I698" t="inlineStr">
        <is>
          <t xml:space="preserve">Хлопок 98%, эластан 2%</t>
        </is>
      </c>
      <c r="J698" t="inlineStr">
        <is>
          <t xml:space="preserve">круглогодичный</t>
        </is>
      </c>
      <c r="K698" t="inlineStr">
        <is>
          <t xml:space="preserve">Бангладеш</t>
        </is>
      </c>
      <c r="L698" t="inlineStr">
        <is>
          <t xml:space="preserve">6203423500</t>
        </is>
      </c>
      <c r="M698" t="inlineStr">
        <is>
          <t xml:space="preserve">по запросу</t>
        </is>
      </c>
      <c r="N698" t="inlineStr">
        <is>
          <t xml:space="preserve">35 × 25 × 2</t>
        </is>
      </c>
      <c r="O698" t="inlineStr">
        <is>
          <t xml:space="preserve">0,48</t>
        </is>
      </c>
      <c r="P698" t="inlineStr">
        <is>
          <t xml:space="preserve">4816148111074</t>
        </is>
      </c>
      <c r="Q698" s="3" t="str">
        <f>HYPERLINK("https://modify.by/img/264200313/1.webp","фото")</f>
        <v>фото</v>
      </c>
      <c r="R698" s="3" t="str">
        <f>HYPERLINK("https://modify.by/catalog/dzhinsy/264200313/?utm_source=price&amp;utm_medium=xlsx","открыть")</f>
        <v>открыть</v>
      </c>
    </row>
    <row r="699">
      <c r="A699" t="inlineStr">
        <is>
          <t xml:space="preserve">Мужской</t>
        </is>
      </c>
      <c r="B699" t="inlineStr">
        <is>
          <t xml:space="preserve">Джинсы</t>
        </is>
      </c>
      <c r="C699" t="inlineStr">
        <is>
          <t xml:space="preserve">Брюки из лёгкого денима, серый</t>
        </is>
      </c>
      <c r="D699" t="inlineStr">
        <is>
          <t xml:space="preserve">PA42M03серый</t>
        </is>
      </c>
      <c r="E699" t="inlineStr">
        <is>
          <t xml:space="preserve">серый, графит</t>
        </is>
      </c>
      <c r="F699" t="inlineStr">
        <is>
          <t xml:space="preserve">52/176</t>
        </is>
      </c>
      <c r="G699">
        <v>1</v>
      </c>
      <c r="H699" s="2">
        <v>58.0</v>
      </c>
      <c r="I699" t="inlineStr">
        <is>
          <t xml:space="preserve">Хлопок 98%, эластан 2%</t>
        </is>
      </c>
      <c r="J699" t="inlineStr">
        <is>
          <t xml:space="preserve">круглогодичный</t>
        </is>
      </c>
      <c r="K699" t="inlineStr">
        <is>
          <t xml:space="preserve">Бангладеш</t>
        </is>
      </c>
      <c r="L699" t="inlineStr">
        <is>
          <t xml:space="preserve">6203423500</t>
        </is>
      </c>
      <c r="M699" t="inlineStr">
        <is>
          <t xml:space="preserve">по запросу</t>
        </is>
      </c>
      <c r="N699" t="inlineStr">
        <is>
          <t xml:space="preserve">35 × 25 × 2</t>
        </is>
      </c>
      <c r="O699" t="inlineStr">
        <is>
          <t xml:space="preserve">0,48</t>
        </is>
      </c>
      <c r="P699" t="inlineStr">
        <is>
          <t xml:space="preserve">4816148110787</t>
        </is>
      </c>
      <c r="Q699" s="3" t="str">
        <f>HYPERLINK("https://modify.by/img/264200313/1.webp","фото")</f>
        <v>фото</v>
      </c>
      <c r="R699" s="3" t="str">
        <f>HYPERLINK("https://modify.by/catalog/dzhinsy/264200313/?utm_source=price&amp;utm_medium=xlsx","открыть")</f>
        <v>открыть</v>
      </c>
    </row>
    <row r="700">
      <c r="A700" t="inlineStr">
        <is>
          <t xml:space="preserve">Мужской</t>
        </is>
      </c>
      <c r="B700" t="inlineStr">
        <is>
          <t xml:space="preserve">Джинсы</t>
        </is>
      </c>
      <c r="C700" t="inlineStr">
        <is>
          <t xml:space="preserve">Брюки из лёгкого денима, черный</t>
        </is>
      </c>
      <c r="D700" t="inlineStr">
        <is>
          <t xml:space="preserve">PA42M03черный</t>
        </is>
      </c>
      <c r="E700" t="inlineStr">
        <is>
          <t xml:space="preserve">черный</t>
        </is>
      </c>
      <c r="F700" t="inlineStr">
        <is>
          <t xml:space="preserve">50/176</t>
        </is>
      </c>
      <c r="G700">
        <v>14</v>
      </c>
      <c r="H700" s="2">
        <v>58.0</v>
      </c>
      <c r="I700" t="inlineStr">
        <is>
          <t xml:space="preserve">Хлопок 98%, эластан 2%</t>
        </is>
      </c>
      <c r="J700" t="inlineStr">
        <is>
          <t xml:space="preserve">круглогодичный</t>
        </is>
      </c>
      <c r="K700" t="inlineStr">
        <is>
          <t xml:space="preserve">Бангладеш</t>
        </is>
      </c>
      <c r="L700" t="inlineStr">
        <is>
          <t xml:space="preserve">6203423500</t>
        </is>
      </c>
      <c r="M700" t="inlineStr">
        <is>
          <t xml:space="preserve">по запросу</t>
        </is>
      </c>
      <c r="N700"/>
      <c r="O700"/>
      <c r="P700" t="inlineStr">
        <is>
          <t xml:space="preserve">4816148110718</t>
        </is>
      </c>
      <c r="Q700" s="3" t="str">
        <f>HYPERLINK("https://modify.by/img/264200312/1.webp","фото")</f>
        <v>фото</v>
      </c>
      <c r="R700" s="3" t="str">
        <f>HYPERLINK("https://modify.by/catalog/dzhinsy/264200312/?utm_source=price&amp;utm_medium=xlsx","открыть")</f>
        <v>открыть</v>
      </c>
    </row>
    <row r="701">
      <c r="A701" t="inlineStr">
        <is>
          <t xml:space="preserve">Мужской</t>
        </is>
      </c>
      <c r="B701" t="inlineStr">
        <is>
          <t xml:space="preserve">Джинсы</t>
        </is>
      </c>
      <c r="C701" t="inlineStr">
        <is>
          <t xml:space="preserve">Брюки из лёгкого денима, черный</t>
        </is>
      </c>
      <c r="D701" t="inlineStr">
        <is>
          <t xml:space="preserve">PA42M03черный</t>
        </is>
      </c>
      <c r="E701" t="inlineStr">
        <is>
          <t xml:space="preserve">черный</t>
        </is>
      </c>
      <c r="F701" t="inlineStr">
        <is>
          <t xml:space="preserve">50/182</t>
        </is>
      </c>
      <c r="G701">
        <v>5</v>
      </c>
      <c r="H701" s="2">
        <v>58.0</v>
      </c>
      <c r="I701" t="inlineStr">
        <is>
          <t xml:space="preserve">Хлопок 98%, эластан 2%</t>
        </is>
      </c>
      <c r="J701" t="inlineStr">
        <is>
          <t xml:space="preserve">круглогодичный</t>
        </is>
      </c>
      <c r="K701" t="inlineStr">
        <is>
          <t xml:space="preserve">Бангладеш</t>
        </is>
      </c>
      <c r="L701" t="inlineStr">
        <is>
          <t xml:space="preserve">6203423500</t>
        </is>
      </c>
      <c r="M701" t="inlineStr">
        <is>
          <t xml:space="preserve">по запросу</t>
        </is>
      </c>
      <c r="N701"/>
      <c r="O701"/>
      <c r="P701" t="inlineStr">
        <is>
          <t xml:space="preserve">4816148111012</t>
        </is>
      </c>
      <c r="Q701" s="3" t="str">
        <f>HYPERLINK("https://modify.by/img/264200312/1.webp","фото")</f>
        <v>фото</v>
      </c>
      <c r="R701" s="3" t="str">
        <f>HYPERLINK("https://modify.by/catalog/dzhinsy/264200312/?utm_source=price&amp;utm_medium=xlsx","открыть")</f>
        <v>открыть</v>
      </c>
    </row>
    <row r="702">
      <c r="A702" t="inlineStr">
        <is>
          <t xml:space="preserve">Мужской</t>
        </is>
      </c>
      <c r="B702" t="inlineStr">
        <is>
          <t xml:space="preserve">Джинсы</t>
        </is>
      </c>
      <c r="C702" t="inlineStr">
        <is>
          <t xml:space="preserve">Джинсы карго плотный деним 100% хлопок, голубые джинсы</t>
        </is>
      </c>
      <c r="D702" t="inlineStr">
        <is>
          <t xml:space="preserve">JE62M01голубой</t>
        </is>
      </c>
      <c r="E702" t="inlineStr">
        <is>
          <t xml:space="preserve">голубые джинсы, голубой, джинс, деним</t>
        </is>
      </c>
      <c r="F702" t="inlineStr">
        <is>
          <t xml:space="preserve">46</t>
        </is>
      </c>
      <c r="G702">
        <v>7</v>
      </c>
      <c r="H702" s="2">
        <v>82.0</v>
      </c>
      <c r="I702" t="inlineStr">
        <is>
          <t xml:space="preserve">хлопок 100%</t>
        </is>
      </c>
      <c r="J702" t="inlineStr">
        <is>
          <t xml:space="preserve">Демисезон</t>
        </is>
      </c>
      <c r="K702" t="inlineStr">
        <is>
          <t xml:space="preserve">Бангладеш</t>
        </is>
      </c>
      <c r="L702" t="inlineStr">
        <is>
          <t xml:space="preserve">6203423100</t>
        </is>
      </c>
      <c r="M702" t="inlineStr">
        <is>
          <t xml:space="preserve">Декларация № ЕАЭС № BY/112 11.01. ТР017 122.01 08246, до 19.04.2028</t>
        </is>
      </c>
      <c r="N702" t="inlineStr">
        <is>
          <t xml:space="preserve">39 × 29 × 5</t>
        </is>
      </c>
      <c r="O702" t="inlineStr">
        <is>
          <t xml:space="preserve">0,85</t>
        </is>
      </c>
      <c r="P702" t="inlineStr">
        <is>
          <t xml:space="preserve">4816148175052</t>
        </is>
      </c>
      <c r="Q702" s="3" t="str">
        <f>HYPERLINK("https://modify.by/img/771637347/1.webp","фото")</f>
        <v>фото</v>
      </c>
      <c r="R702" s="3" t="str">
        <f>HYPERLINK("https://modify.by/catalog/dzhinsy/771637347/?utm_source=price&amp;utm_medium=xlsx","открыть")</f>
        <v>открыть</v>
      </c>
    </row>
    <row r="703">
      <c r="A703" t="inlineStr">
        <is>
          <t xml:space="preserve">Мужской</t>
        </is>
      </c>
      <c r="B703" t="inlineStr">
        <is>
          <t xml:space="preserve">Джинсы</t>
        </is>
      </c>
      <c r="C703" t="inlineStr">
        <is>
          <t xml:space="preserve">Джинсы карго плотный деним 100% хлопок, голубые джинсы</t>
        </is>
      </c>
      <c r="D703" t="inlineStr">
        <is>
          <t xml:space="preserve">JE62M01голубой</t>
        </is>
      </c>
      <c r="E703" t="inlineStr">
        <is>
          <t xml:space="preserve">голубые джинсы, голубой, джинс, деним</t>
        </is>
      </c>
      <c r="F703" t="inlineStr">
        <is>
          <t xml:space="preserve">48</t>
        </is>
      </c>
      <c r="G703">
        <v>12</v>
      </c>
      <c r="H703" s="2">
        <v>82.0</v>
      </c>
      <c r="I703" t="inlineStr">
        <is>
          <t xml:space="preserve">хлопок 100%</t>
        </is>
      </c>
      <c r="J703" t="inlineStr">
        <is>
          <t xml:space="preserve">Демисезон</t>
        </is>
      </c>
      <c r="K703" t="inlineStr">
        <is>
          <t xml:space="preserve">Бангладеш</t>
        </is>
      </c>
      <c r="L703" t="inlineStr">
        <is>
          <t xml:space="preserve">6203423100</t>
        </is>
      </c>
      <c r="M703" t="inlineStr">
        <is>
          <t xml:space="preserve">Декларация № ЕАЭС № BY/112 11.01. ТР017 122.01 08246, до 19.04.2028</t>
        </is>
      </c>
      <c r="N703" t="inlineStr">
        <is>
          <t xml:space="preserve">39 × 29 × 5</t>
        </is>
      </c>
      <c r="O703" t="inlineStr">
        <is>
          <t xml:space="preserve">0,85</t>
        </is>
      </c>
      <c r="P703" t="inlineStr">
        <is>
          <t xml:space="preserve">4816148175069</t>
        </is>
      </c>
      <c r="Q703" s="3" t="str">
        <f>HYPERLINK("https://modify.by/img/771637347/1.webp","фото")</f>
        <v>фото</v>
      </c>
      <c r="R703" s="3" t="str">
        <f>HYPERLINK("https://modify.by/catalog/dzhinsy/771637347/?utm_source=price&amp;utm_medium=xlsx","открыть")</f>
        <v>открыть</v>
      </c>
    </row>
    <row r="704">
      <c r="A704" t="inlineStr">
        <is>
          <t xml:space="preserve">Мужской</t>
        </is>
      </c>
      <c r="B704" t="inlineStr">
        <is>
          <t xml:space="preserve">Джинсы</t>
        </is>
      </c>
      <c r="C704" t="inlineStr">
        <is>
          <t xml:space="preserve">Джинсы карго плотный деним 100% хлопок, серый деним</t>
        </is>
      </c>
      <c r="D704" t="inlineStr">
        <is>
          <t xml:space="preserve">JE62M01темно-серый</t>
        </is>
      </c>
      <c r="E704" t="inlineStr">
        <is>
          <t xml:space="preserve">серый деним, графит, темно-серый</t>
        </is>
      </c>
      <c r="F704" t="inlineStr">
        <is>
          <t xml:space="preserve">44</t>
        </is>
      </c>
      <c r="G704">
        <v>3</v>
      </c>
      <c r="H704" s="2">
        <v>82.0</v>
      </c>
      <c r="I704" t="inlineStr">
        <is>
          <t xml:space="preserve">хлопок 100%</t>
        </is>
      </c>
      <c r="J704" t="inlineStr">
        <is>
          <t xml:space="preserve">Демисезон</t>
        </is>
      </c>
      <c r="K704" t="inlineStr">
        <is>
          <t xml:space="preserve">Бангладеш</t>
        </is>
      </c>
      <c r="L704" t="inlineStr">
        <is>
          <t xml:space="preserve">6203423100</t>
        </is>
      </c>
      <c r="M704" t="inlineStr">
        <is>
          <t xml:space="preserve">Декларация № ЕАЭС № BY/112 11.01. ТР017 122.01 08246, до 19.04.2028</t>
        </is>
      </c>
      <c r="N704" t="inlineStr">
        <is>
          <t xml:space="preserve">39 × 29 × 5</t>
        </is>
      </c>
      <c r="O704" t="inlineStr">
        <is>
          <t xml:space="preserve">0,85</t>
        </is>
      </c>
      <c r="P704" t="inlineStr">
        <is>
          <t xml:space="preserve">4816148174994</t>
        </is>
      </c>
      <c r="Q704" s="3" t="str">
        <f>HYPERLINK("https://modify.by/img/755728054/1.webp","фото")</f>
        <v>фото</v>
      </c>
      <c r="R704" s="3" t="str">
        <f>HYPERLINK("https://modify.by/catalog/dzhinsy/755728054/?utm_source=price&amp;utm_medium=xlsx","открыть")</f>
        <v>открыть</v>
      </c>
    </row>
    <row r="705">
      <c r="A705" t="inlineStr">
        <is>
          <t xml:space="preserve">Мужской</t>
        </is>
      </c>
      <c r="B705" t="inlineStr">
        <is>
          <t xml:space="preserve">Джинсы</t>
        </is>
      </c>
      <c r="C705" t="inlineStr">
        <is>
          <t xml:space="preserve">Джинсы карго плотный деним 100% хлопок, серый деним</t>
        </is>
      </c>
      <c r="D705" t="inlineStr">
        <is>
          <t xml:space="preserve">JE62M01темно-серый</t>
        </is>
      </c>
      <c r="E705" t="inlineStr">
        <is>
          <t xml:space="preserve">серый деним, графит, темно-серый</t>
        </is>
      </c>
      <c r="F705" t="inlineStr">
        <is>
          <t xml:space="preserve">46</t>
        </is>
      </c>
      <c r="G705">
        <v>10</v>
      </c>
      <c r="H705" s="2">
        <v>82.0</v>
      </c>
      <c r="I705" t="inlineStr">
        <is>
          <t xml:space="preserve">хлопок 100%</t>
        </is>
      </c>
      <c r="J705" t="inlineStr">
        <is>
          <t xml:space="preserve">Демисезон</t>
        </is>
      </c>
      <c r="K705" t="inlineStr">
        <is>
          <t xml:space="preserve">Бангладеш</t>
        </is>
      </c>
      <c r="L705" t="inlineStr">
        <is>
          <t xml:space="preserve">6203423100</t>
        </is>
      </c>
      <c r="M705" t="inlineStr">
        <is>
          <t xml:space="preserve">Декларация № ЕАЭС № BY/112 11.01. ТР017 122.01 08246, до 19.04.2028</t>
        </is>
      </c>
      <c r="N705" t="inlineStr">
        <is>
          <t xml:space="preserve">39 × 29 × 5</t>
        </is>
      </c>
      <c r="O705" t="inlineStr">
        <is>
          <t xml:space="preserve">0,85</t>
        </is>
      </c>
      <c r="P705" t="inlineStr">
        <is>
          <t xml:space="preserve">4816148175007</t>
        </is>
      </c>
      <c r="Q705" s="3" t="str">
        <f>HYPERLINK("https://modify.by/img/755728054/1.webp","фото")</f>
        <v>фото</v>
      </c>
      <c r="R705" s="3" t="str">
        <f>HYPERLINK("https://modify.by/catalog/dzhinsy/755728054/?utm_source=price&amp;utm_medium=xlsx","открыть")</f>
        <v>открыть</v>
      </c>
    </row>
    <row r="706">
      <c r="A706" t="inlineStr">
        <is>
          <t xml:space="preserve">Мужской</t>
        </is>
      </c>
      <c r="B706" t="inlineStr">
        <is>
          <t xml:space="preserve">Джинсы</t>
        </is>
      </c>
      <c r="C706" t="inlineStr">
        <is>
          <t xml:space="preserve">Джинсы карго плотный деним 100% хлопок, серый деним</t>
        </is>
      </c>
      <c r="D706" t="inlineStr">
        <is>
          <t xml:space="preserve">JE62M01темно-серый</t>
        </is>
      </c>
      <c r="E706" t="inlineStr">
        <is>
          <t xml:space="preserve">серый деним, графит, темно-серый</t>
        </is>
      </c>
      <c r="F706" t="inlineStr">
        <is>
          <t xml:space="preserve">48</t>
        </is>
      </c>
      <c r="G706">
        <v>10</v>
      </c>
      <c r="H706" s="2">
        <v>82.0</v>
      </c>
      <c r="I706" t="inlineStr">
        <is>
          <t xml:space="preserve">хлопок 100%</t>
        </is>
      </c>
      <c r="J706" t="inlineStr">
        <is>
          <t xml:space="preserve">Демисезон</t>
        </is>
      </c>
      <c r="K706" t="inlineStr">
        <is>
          <t xml:space="preserve">Бангладеш</t>
        </is>
      </c>
      <c r="L706" t="inlineStr">
        <is>
          <t xml:space="preserve">6203423100</t>
        </is>
      </c>
      <c r="M706" t="inlineStr">
        <is>
          <t xml:space="preserve">Декларация № ЕАЭС № BY/112 11.01. ТР017 122.01 08246, до 19.04.2028</t>
        </is>
      </c>
      <c r="N706" t="inlineStr">
        <is>
          <t xml:space="preserve">39 × 29 × 5</t>
        </is>
      </c>
      <c r="O706" t="inlineStr">
        <is>
          <t xml:space="preserve">0,85</t>
        </is>
      </c>
      <c r="P706" t="inlineStr">
        <is>
          <t xml:space="preserve">4816148175014</t>
        </is>
      </c>
      <c r="Q706" s="3" t="str">
        <f>HYPERLINK("https://modify.by/img/755728054/1.webp","фото")</f>
        <v>фото</v>
      </c>
      <c r="R706" s="3" t="str">
        <f>HYPERLINK("https://modify.by/catalog/dzhinsy/755728054/?utm_source=price&amp;utm_medium=xlsx","открыть")</f>
        <v>открыть</v>
      </c>
    </row>
    <row r="707">
      <c r="A707" t="inlineStr">
        <is>
          <t xml:space="preserve">Мужской</t>
        </is>
      </c>
      <c r="B707" t="inlineStr">
        <is>
          <t xml:space="preserve">Джинсы</t>
        </is>
      </c>
      <c r="C707" t="inlineStr">
        <is>
          <t xml:space="preserve">Джинсы карго плотный деним 100% хлопок, темно-синий джинсовый</t>
        </is>
      </c>
      <c r="D707" t="inlineStr">
        <is>
          <t xml:space="preserve">JE62M01синий</t>
        </is>
      </c>
      <c r="E707" t="inlineStr">
        <is>
          <t xml:space="preserve">темно-синий джинсовый, синий</t>
        </is>
      </c>
      <c r="F707" t="inlineStr">
        <is>
          <t xml:space="preserve">44</t>
        </is>
      </c>
      <c r="G707">
        <v>4</v>
      </c>
      <c r="H707" s="2">
        <v>82.0</v>
      </c>
      <c r="I707" t="inlineStr">
        <is>
          <t xml:space="preserve">100% хлопок</t>
        </is>
      </c>
      <c r="J707" t="inlineStr">
        <is>
          <t xml:space="preserve">Демисезон</t>
        </is>
      </c>
      <c r="K707" t="inlineStr">
        <is>
          <t xml:space="preserve">Бангладеш</t>
        </is>
      </c>
      <c r="L707" t="inlineStr">
        <is>
          <t xml:space="preserve">6203423100</t>
        </is>
      </c>
      <c r="M707" t="inlineStr">
        <is>
          <t xml:space="preserve">Декларация № ЕАЭС № BY/112 11.01. ТР017 122.01 08246, до 19.04.2028</t>
        </is>
      </c>
      <c r="N707" t="inlineStr">
        <is>
          <t xml:space="preserve">39 × 29 × 5</t>
        </is>
      </c>
      <c r="O707" t="inlineStr">
        <is>
          <t xml:space="preserve">0,85</t>
        </is>
      </c>
      <c r="P707" t="inlineStr">
        <is>
          <t xml:space="preserve">4816148174949</t>
        </is>
      </c>
      <c r="Q707" s="3" t="str">
        <f>HYPERLINK("https://modify.by/img/770823893/1.webp","фото")</f>
        <v>фото</v>
      </c>
      <c r="R707" s="3" t="str">
        <f>HYPERLINK("https://modify.by/catalog/dzhinsy/770823893/?utm_source=price&amp;utm_medium=xlsx","открыть")</f>
        <v>открыть</v>
      </c>
    </row>
    <row r="708">
      <c r="A708" t="inlineStr">
        <is>
          <t xml:space="preserve">Мужской</t>
        </is>
      </c>
      <c r="B708" t="inlineStr">
        <is>
          <t xml:space="preserve">Джинсы</t>
        </is>
      </c>
      <c r="C708" t="inlineStr">
        <is>
          <t xml:space="preserve">Джинсы карго плотный деним 100% хлопок, темно-синий джинсовый</t>
        </is>
      </c>
      <c r="D708" t="inlineStr">
        <is>
          <t xml:space="preserve">JE62M01синий</t>
        </is>
      </c>
      <c r="E708" t="inlineStr">
        <is>
          <t xml:space="preserve">темно-синий джинсовый, синий</t>
        </is>
      </c>
      <c r="F708" t="inlineStr">
        <is>
          <t xml:space="preserve">46</t>
        </is>
      </c>
      <c r="G708">
        <v>11</v>
      </c>
      <c r="H708" s="2">
        <v>82.0</v>
      </c>
      <c r="I708" t="inlineStr">
        <is>
          <t xml:space="preserve">100% хлопок</t>
        </is>
      </c>
      <c r="J708" t="inlineStr">
        <is>
          <t xml:space="preserve">Демисезон</t>
        </is>
      </c>
      <c r="K708" t="inlineStr">
        <is>
          <t xml:space="preserve">Бангладеш</t>
        </is>
      </c>
      <c r="L708" t="inlineStr">
        <is>
          <t xml:space="preserve">6203423100</t>
        </is>
      </c>
      <c r="M708" t="inlineStr">
        <is>
          <t xml:space="preserve">Декларация № ЕАЭС № BY/112 11.01. ТР017 122.01 08246, до 19.04.2028</t>
        </is>
      </c>
      <c r="N708" t="inlineStr">
        <is>
          <t xml:space="preserve">39 × 29 × 5</t>
        </is>
      </c>
      <c r="O708" t="inlineStr">
        <is>
          <t xml:space="preserve">0,85</t>
        </is>
      </c>
      <c r="P708" t="inlineStr">
        <is>
          <t xml:space="preserve">4816148174956</t>
        </is>
      </c>
      <c r="Q708" s="3" t="str">
        <f>HYPERLINK("https://modify.by/img/770823893/1.webp","фото")</f>
        <v>фото</v>
      </c>
      <c r="R708" s="3" t="str">
        <f>HYPERLINK("https://modify.by/catalog/dzhinsy/770823893/?utm_source=price&amp;utm_medium=xlsx","открыть")</f>
        <v>открыть</v>
      </c>
    </row>
    <row r="709">
      <c r="A709" t="inlineStr">
        <is>
          <t xml:space="preserve">Мужской</t>
        </is>
      </c>
      <c r="B709" t="inlineStr">
        <is>
          <t xml:space="preserve">Джинсы</t>
        </is>
      </c>
      <c r="C709" t="inlineStr">
        <is>
          <t xml:space="preserve">Джинсы карго плотный деним 100% хлопок, темно-синий джинсовый</t>
        </is>
      </c>
      <c r="D709" t="inlineStr">
        <is>
          <t xml:space="preserve">JE62M01синий</t>
        </is>
      </c>
      <c r="E709" t="inlineStr">
        <is>
          <t xml:space="preserve">темно-синий джинсовый, синий</t>
        </is>
      </c>
      <c r="F709" t="inlineStr">
        <is>
          <t xml:space="preserve">48</t>
        </is>
      </c>
      <c r="G709">
        <v>30</v>
      </c>
      <c r="H709" s="2">
        <v>82.0</v>
      </c>
      <c r="I709" t="inlineStr">
        <is>
          <t xml:space="preserve">100% хлопок</t>
        </is>
      </c>
      <c r="J709" t="inlineStr">
        <is>
          <t xml:space="preserve">Демисезон</t>
        </is>
      </c>
      <c r="K709" t="inlineStr">
        <is>
          <t xml:space="preserve">Бангладеш</t>
        </is>
      </c>
      <c r="L709" t="inlineStr">
        <is>
          <t xml:space="preserve">6203423100</t>
        </is>
      </c>
      <c r="M709" t="inlineStr">
        <is>
          <t xml:space="preserve">Декларация № ЕАЭС № BY/112 11.01. ТР017 122.01 08246, до 19.04.2028</t>
        </is>
      </c>
      <c r="N709" t="inlineStr">
        <is>
          <t xml:space="preserve">39 × 29 × 5</t>
        </is>
      </c>
      <c r="O709" t="inlineStr">
        <is>
          <t xml:space="preserve">0,85</t>
        </is>
      </c>
      <c r="P709" t="inlineStr">
        <is>
          <t xml:space="preserve">4816148174963</t>
        </is>
      </c>
      <c r="Q709" s="3" t="str">
        <f>HYPERLINK("https://modify.by/img/770823893/1.webp","фото")</f>
        <v>фото</v>
      </c>
      <c r="R709" s="3" t="str">
        <f>HYPERLINK("https://modify.by/catalog/dzhinsy/770823893/?utm_source=price&amp;utm_medium=xlsx","открыть")</f>
        <v>открыть</v>
      </c>
    </row>
    <row r="710">
      <c r="A710" t="inlineStr">
        <is>
          <t xml:space="preserve">Мужской</t>
        </is>
      </c>
      <c r="B710" t="inlineStr">
        <is>
          <t xml:space="preserve">Джинсы</t>
        </is>
      </c>
      <c r="C710" t="inlineStr">
        <is>
          <t xml:space="preserve">Джинсы карго плотный деним 100% хлопок, темно-синий джинсовый</t>
        </is>
      </c>
      <c r="D710" t="inlineStr">
        <is>
          <t xml:space="preserve">JE62M01синий</t>
        </is>
      </c>
      <c r="E710" t="inlineStr">
        <is>
          <t xml:space="preserve">темно-синий джинсовый, синий</t>
        </is>
      </c>
      <c r="F710" t="inlineStr">
        <is>
          <t xml:space="preserve">50</t>
        </is>
      </c>
      <c r="G710">
        <v>6</v>
      </c>
      <c r="H710" s="2">
        <v>82.0</v>
      </c>
      <c r="I710" t="inlineStr">
        <is>
          <t xml:space="preserve">100% хлопок</t>
        </is>
      </c>
      <c r="J710" t="inlineStr">
        <is>
          <t xml:space="preserve">Демисезон</t>
        </is>
      </c>
      <c r="K710" t="inlineStr">
        <is>
          <t xml:space="preserve">Бангладеш</t>
        </is>
      </c>
      <c r="L710" t="inlineStr">
        <is>
          <t xml:space="preserve">6203423100</t>
        </is>
      </c>
      <c r="M710" t="inlineStr">
        <is>
          <t xml:space="preserve">Декларация № ЕАЭС № BY/112 11.01. ТР017 122.01 08246, до 19.04.2028</t>
        </is>
      </c>
      <c r="N710" t="inlineStr">
        <is>
          <t xml:space="preserve">39 × 29 × 5</t>
        </is>
      </c>
      <c r="O710" t="inlineStr">
        <is>
          <t xml:space="preserve">0,85</t>
        </is>
      </c>
      <c r="P710" t="inlineStr">
        <is>
          <t xml:space="preserve">4816148174970</t>
        </is>
      </c>
      <c r="Q710" s="3" t="str">
        <f>HYPERLINK("https://modify.by/img/770823893/1.webp","фото")</f>
        <v>фото</v>
      </c>
      <c r="R710" s="3" t="str">
        <f>HYPERLINK("https://modify.by/catalog/dzhinsy/770823893/?utm_source=price&amp;utm_medium=xlsx","открыть")</f>
        <v>открыть</v>
      </c>
    </row>
    <row r="711">
      <c r="A711" t="inlineStr">
        <is>
          <t xml:space="preserve">Мужской</t>
        </is>
      </c>
      <c r="B711" t="inlineStr">
        <is>
          <t xml:space="preserve">Джинсы</t>
        </is>
      </c>
      <c r="C711" t="inlineStr">
        <is>
          <t xml:space="preserve">Джинсы карго плотный деним 100% хлопок, темно-синий джинсовый</t>
        </is>
      </c>
      <c r="D711" t="inlineStr">
        <is>
          <t xml:space="preserve">JE62M01синий</t>
        </is>
      </c>
      <c r="E711" t="inlineStr">
        <is>
          <t xml:space="preserve">темно-синий джинсовый, синий</t>
        </is>
      </c>
      <c r="F711" t="inlineStr">
        <is>
          <t xml:space="preserve">52</t>
        </is>
      </c>
      <c r="G711">
        <v>2</v>
      </c>
      <c r="H711" s="2">
        <v>82.0</v>
      </c>
      <c r="I711" t="inlineStr">
        <is>
          <t xml:space="preserve">100% хлопок</t>
        </is>
      </c>
      <c r="J711" t="inlineStr">
        <is>
          <t xml:space="preserve">Демисезон</t>
        </is>
      </c>
      <c r="K711" t="inlineStr">
        <is>
          <t xml:space="preserve">Бангладеш</t>
        </is>
      </c>
      <c r="L711" t="inlineStr">
        <is>
          <t xml:space="preserve">6203423100</t>
        </is>
      </c>
      <c r="M711" t="inlineStr">
        <is>
          <t xml:space="preserve">Декларация № ЕАЭС № BY/112 11.01. ТР017 122.01 08246, до 19.04.2028</t>
        </is>
      </c>
      <c r="N711" t="inlineStr">
        <is>
          <t xml:space="preserve">39 × 29 × 5</t>
        </is>
      </c>
      <c r="O711" t="inlineStr">
        <is>
          <t xml:space="preserve">0,85</t>
        </is>
      </c>
      <c r="P711" t="inlineStr">
        <is>
          <t xml:space="preserve">4816148174987</t>
        </is>
      </c>
      <c r="Q711" s="3" t="str">
        <f>HYPERLINK("https://modify.by/img/770823893/1.webp","фото")</f>
        <v>фото</v>
      </c>
      <c r="R711" s="3" t="str">
        <f>HYPERLINK("https://modify.by/catalog/dzhinsy/770823893/?utm_source=price&amp;utm_medium=xlsx","открыть")</f>
        <v>открыть</v>
      </c>
    </row>
    <row r="712">
      <c r="A712" t="inlineStr">
        <is>
          <t xml:space="preserve">Мужской</t>
        </is>
      </c>
      <c r="B712" t="inlineStr">
        <is>
          <t xml:space="preserve">Джинсы</t>
        </is>
      </c>
      <c r="C712" t="inlineStr">
        <is>
          <t xml:space="preserve">Джинсы карго плотный деним 100% хлопок, черный</t>
        </is>
      </c>
      <c r="D712" t="inlineStr">
        <is>
          <t xml:space="preserve">JE62M01черный</t>
        </is>
      </c>
      <c r="E712" t="inlineStr">
        <is>
          <t xml:space="preserve">черный</t>
        </is>
      </c>
      <c r="F712" t="inlineStr">
        <is>
          <t xml:space="preserve">44</t>
        </is>
      </c>
      <c r="G712">
        <v>2</v>
      </c>
      <c r="H712" s="2">
        <v>82.0</v>
      </c>
      <c r="I712" t="inlineStr">
        <is>
          <t xml:space="preserve">100% хлопок</t>
        </is>
      </c>
      <c r="J712" t="inlineStr">
        <is>
          <t xml:space="preserve">Демисезон</t>
        </is>
      </c>
      <c r="K712" t="inlineStr">
        <is>
          <t xml:space="preserve">Бангладеш</t>
        </is>
      </c>
      <c r="L712" t="inlineStr">
        <is>
          <t xml:space="preserve">6203423100</t>
        </is>
      </c>
      <c r="M712" t="inlineStr">
        <is>
          <t xml:space="preserve">Декларация № ЕАЭС № BY/112 11.01. ТР017 122.01 08246, до 19.04.2028</t>
        </is>
      </c>
      <c r="N712" t="inlineStr">
        <is>
          <t xml:space="preserve">39 × 29 × 5</t>
        </is>
      </c>
      <c r="O712" t="inlineStr">
        <is>
          <t xml:space="preserve">0,85</t>
        </is>
      </c>
      <c r="P712" t="inlineStr">
        <is>
          <t xml:space="preserve">4816148174840</t>
        </is>
      </c>
      <c r="Q712" s="3" t="str">
        <f>HYPERLINK("https://modify.by/img/770823892/1.webp","фото")</f>
        <v>фото</v>
      </c>
      <c r="R712" s="3" t="str">
        <f>HYPERLINK("https://modify.by/catalog/dzhinsy/770823892/?utm_source=price&amp;utm_medium=xlsx","открыть")</f>
        <v>открыть</v>
      </c>
    </row>
    <row r="713">
      <c r="A713" t="inlineStr">
        <is>
          <t xml:space="preserve">Мужской</t>
        </is>
      </c>
      <c r="B713" t="inlineStr">
        <is>
          <t xml:space="preserve">Джинсы</t>
        </is>
      </c>
      <c r="C713" t="inlineStr">
        <is>
          <t xml:space="preserve">Джинсы карго плотный деним 100% хлопок, черный</t>
        </is>
      </c>
      <c r="D713" t="inlineStr">
        <is>
          <t xml:space="preserve">JE62M01черный</t>
        </is>
      </c>
      <c r="E713" t="inlineStr">
        <is>
          <t xml:space="preserve">черный</t>
        </is>
      </c>
      <c r="F713" t="inlineStr">
        <is>
          <t xml:space="preserve">46</t>
        </is>
      </c>
      <c r="G713">
        <v>12</v>
      </c>
      <c r="H713" s="2">
        <v>82.0</v>
      </c>
      <c r="I713" t="inlineStr">
        <is>
          <t xml:space="preserve">100% хлопок</t>
        </is>
      </c>
      <c r="J713" t="inlineStr">
        <is>
          <t xml:space="preserve">Демисезон</t>
        </is>
      </c>
      <c r="K713" t="inlineStr">
        <is>
          <t xml:space="preserve">Бангладеш</t>
        </is>
      </c>
      <c r="L713" t="inlineStr">
        <is>
          <t xml:space="preserve">6203423100</t>
        </is>
      </c>
      <c r="M713" t="inlineStr">
        <is>
          <t xml:space="preserve">Декларация № ЕАЭС № BY/112 11.01. ТР017 122.01 08246, до 19.04.2028</t>
        </is>
      </c>
      <c r="N713" t="inlineStr">
        <is>
          <t xml:space="preserve">39 × 29 × 5</t>
        </is>
      </c>
      <c r="O713" t="inlineStr">
        <is>
          <t xml:space="preserve">0,85</t>
        </is>
      </c>
      <c r="P713" t="inlineStr">
        <is>
          <t xml:space="preserve">4816148174857</t>
        </is>
      </c>
      <c r="Q713" s="3" t="str">
        <f>HYPERLINK("https://modify.by/img/770823892/1.webp","фото")</f>
        <v>фото</v>
      </c>
      <c r="R713" s="3" t="str">
        <f>HYPERLINK("https://modify.by/catalog/dzhinsy/770823892/?utm_source=price&amp;utm_medium=xlsx","открыть")</f>
        <v>открыть</v>
      </c>
    </row>
    <row r="714">
      <c r="A714" t="inlineStr">
        <is>
          <t xml:space="preserve">Мужской</t>
        </is>
      </c>
      <c r="B714" t="inlineStr">
        <is>
          <t xml:space="preserve">Джинсы</t>
        </is>
      </c>
      <c r="C714" t="inlineStr">
        <is>
          <t xml:space="preserve">Джинсы карго плотный деним 100% хлопок, черный</t>
        </is>
      </c>
      <c r="D714" t="inlineStr">
        <is>
          <t xml:space="preserve">JE62M01черный</t>
        </is>
      </c>
      <c r="E714" t="inlineStr">
        <is>
          <t xml:space="preserve">черный</t>
        </is>
      </c>
      <c r="F714" t="inlineStr">
        <is>
          <t xml:space="preserve">48</t>
        </is>
      </c>
      <c r="G714">
        <v>26</v>
      </c>
      <c r="H714" s="2">
        <v>82.0</v>
      </c>
      <c r="I714" t="inlineStr">
        <is>
          <t xml:space="preserve">100% хлопок</t>
        </is>
      </c>
      <c r="J714" t="inlineStr">
        <is>
          <t xml:space="preserve">Демисезон</t>
        </is>
      </c>
      <c r="K714" t="inlineStr">
        <is>
          <t xml:space="preserve">Бангладеш</t>
        </is>
      </c>
      <c r="L714" t="inlineStr">
        <is>
          <t xml:space="preserve">6203423100</t>
        </is>
      </c>
      <c r="M714" t="inlineStr">
        <is>
          <t xml:space="preserve">Декларация № ЕАЭС № BY/112 11.01. ТР017 122.01 08246, до 19.04.2028</t>
        </is>
      </c>
      <c r="N714" t="inlineStr">
        <is>
          <t xml:space="preserve">39 × 29 × 5</t>
        </is>
      </c>
      <c r="O714" t="inlineStr">
        <is>
          <t xml:space="preserve">0,85</t>
        </is>
      </c>
      <c r="P714" t="inlineStr">
        <is>
          <t xml:space="preserve">4816148174864</t>
        </is>
      </c>
      <c r="Q714" s="3" t="str">
        <f>HYPERLINK("https://modify.by/img/770823892/1.webp","фото")</f>
        <v>фото</v>
      </c>
      <c r="R714" s="3" t="str">
        <f>HYPERLINK("https://modify.by/catalog/dzhinsy/770823892/?utm_source=price&amp;utm_medium=xlsx","открыть")</f>
        <v>открыть</v>
      </c>
    </row>
    <row r="715">
      <c r="A715" t="inlineStr">
        <is>
          <t xml:space="preserve">Мужской</t>
        </is>
      </c>
      <c r="B715" t="inlineStr">
        <is>
          <t xml:space="preserve">Джинсы</t>
        </is>
      </c>
      <c r="C715" t="inlineStr">
        <is>
          <t xml:space="preserve">Джинсы карго плотный деним 100% хлопок, черный</t>
        </is>
      </c>
      <c r="D715" t="inlineStr">
        <is>
          <t xml:space="preserve">JE62M01черный</t>
        </is>
      </c>
      <c r="E715" t="inlineStr">
        <is>
          <t xml:space="preserve">черный</t>
        </is>
      </c>
      <c r="F715" t="inlineStr">
        <is>
          <t xml:space="preserve">50</t>
        </is>
      </c>
      <c r="G715">
        <v>5</v>
      </c>
      <c r="H715" s="2">
        <v>82.0</v>
      </c>
      <c r="I715" t="inlineStr">
        <is>
          <t xml:space="preserve">100% хлопок</t>
        </is>
      </c>
      <c r="J715" t="inlineStr">
        <is>
          <t xml:space="preserve">Демисезон</t>
        </is>
      </c>
      <c r="K715" t="inlineStr">
        <is>
          <t xml:space="preserve">Бангладеш</t>
        </is>
      </c>
      <c r="L715" t="inlineStr">
        <is>
          <t xml:space="preserve">6203423100</t>
        </is>
      </c>
      <c r="M715" t="inlineStr">
        <is>
          <t xml:space="preserve">Декларация № ЕАЭС № BY/112 11.01. ТР017 122.01 08246, до 19.04.2028</t>
        </is>
      </c>
      <c r="N715" t="inlineStr">
        <is>
          <t xml:space="preserve">39 × 29 × 5</t>
        </is>
      </c>
      <c r="O715" t="inlineStr">
        <is>
          <t xml:space="preserve">0,85</t>
        </is>
      </c>
      <c r="P715" t="inlineStr">
        <is>
          <t xml:space="preserve">4816148174871</t>
        </is>
      </c>
      <c r="Q715" s="3" t="str">
        <f>HYPERLINK("https://modify.by/img/770823892/1.webp","фото")</f>
        <v>фото</v>
      </c>
      <c r="R715" s="3" t="str">
        <f>HYPERLINK("https://modify.by/catalog/dzhinsy/770823892/?utm_source=price&amp;utm_medium=xlsx","открыть")</f>
        <v>открыть</v>
      </c>
    </row>
    <row r="716">
      <c r="A716" t="inlineStr">
        <is>
          <t xml:space="preserve">Мужской</t>
        </is>
      </c>
      <c r="B716" t="inlineStr">
        <is>
          <t xml:space="preserve">Джинсы</t>
        </is>
      </c>
      <c r="C716" t="inlineStr">
        <is>
          <t xml:space="preserve">Джинсы карго плотный деним 100% хлопок, черный</t>
        </is>
      </c>
      <c r="D716" t="inlineStr">
        <is>
          <t xml:space="preserve">JE62M01черный</t>
        </is>
      </c>
      <c r="E716" t="inlineStr">
        <is>
          <t xml:space="preserve">черный</t>
        </is>
      </c>
      <c r="F716" t="inlineStr">
        <is>
          <t xml:space="preserve">52</t>
        </is>
      </c>
      <c r="G716">
        <v>2</v>
      </c>
      <c r="H716" s="2">
        <v>82.0</v>
      </c>
      <c r="I716" t="inlineStr">
        <is>
          <t xml:space="preserve">100% хлопок</t>
        </is>
      </c>
      <c r="J716" t="inlineStr">
        <is>
          <t xml:space="preserve">Демисезон</t>
        </is>
      </c>
      <c r="K716" t="inlineStr">
        <is>
          <t xml:space="preserve">Бангладеш</t>
        </is>
      </c>
      <c r="L716" t="inlineStr">
        <is>
          <t xml:space="preserve">6203423100</t>
        </is>
      </c>
      <c r="M716" t="inlineStr">
        <is>
          <t xml:space="preserve">Декларация № ЕАЭС № BY/112 11.01. ТР017 122.01 08246, до 19.04.2028</t>
        </is>
      </c>
      <c r="N716" t="inlineStr">
        <is>
          <t xml:space="preserve">39 × 29 × 5</t>
        </is>
      </c>
      <c r="O716" t="inlineStr">
        <is>
          <t xml:space="preserve">0,85</t>
        </is>
      </c>
      <c r="P716" t="inlineStr">
        <is>
          <t xml:space="preserve">4816148174888</t>
        </is>
      </c>
      <c r="Q716" s="3" t="str">
        <f>HYPERLINK("https://modify.by/img/770823892/1.webp","фото")</f>
        <v>фото</v>
      </c>
      <c r="R716" s="3" t="str">
        <f>HYPERLINK("https://modify.by/catalog/dzhinsy/770823892/?utm_source=price&amp;utm_medium=xlsx","открыть")</f>
        <v>открыть</v>
      </c>
    </row>
    <row r="717">
      <c r="A717" t="inlineStr">
        <is>
          <t xml:space="preserve">Мужской</t>
        </is>
      </c>
      <c r="B717" t="inlineStr">
        <is>
          <t xml:space="preserve">Джинсы</t>
        </is>
      </c>
      <c r="C717" t="inlineStr">
        <is>
          <t xml:space="preserve">Джинсы прямые классические светлые хлопок 98%, песочный</t>
        </is>
      </c>
      <c r="D717" t="inlineStr">
        <is>
          <t xml:space="preserve">PA42M04песочный</t>
        </is>
      </c>
      <c r="E717" t="inlineStr">
        <is>
          <t xml:space="preserve">песочный</t>
        </is>
      </c>
      <c r="F717" t="inlineStr">
        <is>
          <t xml:space="preserve">48-182</t>
        </is>
      </c>
      <c r="G717">
        <v>31</v>
      </c>
      <c r="H717" s="2">
        <v>51.0</v>
      </c>
      <c r="I717" t="inlineStr">
        <is>
          <t xml:space="preserve">Хлопок 98%, Эластан 2%</t>
        </is>
      </c>
      <c r="J717" t="inlineStr">
        <is>
          <t xml:space="preserve">демисезон</t>
        </is>
      </c>
      <c r="K717" t="inlineStr">
        <is>
          <t xml:space="preserve">Бангладеш</t>
        </is>
      </c>
      <c r="L717" t="inlineStr">
        <is>
          <t xml:space="preserve">6203423500</t>
        </is>
      </c>
      <c r="M717" t="inlineStr">
        <is>
          <t xml:space="preserve">Декларация № ЕАЭС № BY/112 11.01. ТР017 122.01 08246, до 19.04.2028</t>
        </is>
      </c>
      <c r="N717" t="inlineStr">
        <is>
          <t xml:space="preserve">34 × 25 × 2</t>
        </is>
      </c>
      <c r="O717" t="inlineStr">
        <is>
          <t xml:space="preserve">0,35</t>
        </is>
      </c>
      <c r="P717" t="inlineStr">
        <is>
          <t xml:space="preserve">4816148112545</t>
        </is>
      </c>
      <c r="Q717" s="3" t="str">
        <f>HYPERLINK("https://modify.by/img/245489431/1.webp","фото")</f>
        <v>фото</v>
      </c>
      <c r="R717" s="3" t="str">
        <f>HYPERLINK("https://modify.by/catalog/dzhinsy/245489431/?utm_source=price&amp;utm_medium=xlsx","открыть")</f>
        <v>открыть</v>
      </c>
    </row>
    <row r="718">
      <c r="A718" t="inlineStr">
        <is>
          <t xml:space="preserve">Мужской</t>
        </is>
      </c>
      <c r="B718" t="inlineStr">
        <is>
          <t xml:space="preserve">Джинсы</t>
        </is>
      </c>
      <c r="C718" t="inlineStr">
        <is>
          <t xml:space="preserve">Джинсы прямые классические светлые хлопок 98%, песочный</t>
        </is>
      </c>
      <c r="D718" t="inlineStr">
        <is>
          <t xml:space="preserve">PA42M04песочный</t>
        </is>
      </c>
      <c r="E718" t="inlineStr">
        <is>
          <t xml:space="preserve">песочный</t>
        </is>
      </c>
      <c r="F718" t="inlineStr">
        <is>
          <t xml:space="preserve">50-182</t>
        </is>
      </c>
      <c r="G718">
        <v>4</v>
      </c>
      <c r="H718" s="2">
        <v>51.0</v>
      </c>
      <c r="I718" t="inlineStr">
        <is>
          <t xml:space="preserve">Хлопок 98%, Эластан 2%</t>
        </is>
      </c>
      <c r="J718" t="inlineStr">
        <is>
          <t xml:space="preserve">демисезон</t>
        </is>
      </c>
      <c r="K718" t="inlineStr">
        <is>
          <t xml:space="preserve">Бангладеш</t>
        </is>
      </c>
      <c r="L718" t="inlineStr">
        <is>
          <t xml:space="preserve">6203423500</t>
        </is>
      </c>
      <c r="M718" t="inlineStr">
        <is>
          <t xml:space="preserve">Декларация № ЕАЭС № BY/112 11.01. ТР017 122.01 08246, до 19.04.2028</t>
        </is>
      </c>
      <c r="N718" t="inlineStr">
        <is>
          <t xml:space="preserve">34 × 25 × 2</t>
        </is>
      </c>
      <c r="O718" t="inlineStr">
        <is>
          <t xml:space="preserve">0,35</t>
        </is>
      </c>
      <c r="P718" t="inlineStr">
        <is>
          <t xml:space="preserve">4816148112552</t>
        </is>
      </c>
      <c r="Q718" s="3" t="str">
        <f>HYPERLINK("https://modify.by/img/245489431/1.webp","фото")</f>
        <v>фото</v>
      </c>
      <c r="R718" s="3" t="str">
        <f>HYPERLINK("https://modify.by/catalog/dzhinsy/245489431/?utm_source=price&amp;utm_medium=xlsx","открыть")</f>
        <v>открыть</v>
      </c>
    </row>
    <row r="719">
      <c r="A719" t="inlineStr">
        <is>
          <t xml:space="preserve">Мужской</t>
        </is>
      </c>
      <c r="B719" t="inlineStr">
        <is>
          <t xml:space="preserve">Джинсы</t>
        </is>
      </c>
      <c r="C719" t="inlineStr">
        <is>
          <t xml:space="preserve">Джинсы прямые классические светлые хлопок 98%, серый</t>
        </is>
      </c>
      <c r="D719" t="inlineStr">
        <is>
          <t xml:space="preserve">PA42M04серый</t>
        </is>
      </c>
      <c r="E719" t="inlineStr">
        <is>
          <t xml:space="preserve">серый, коричнево-серый</t>
        </is>
      </c>
      <c r="F719" t="inlineStr">
        <is>
          <t xml:space="preserve">46</t>
        </is>
      </c>
      <c r="G719">
        <v>27</v>
      </c>
      <c r="H719" s="2">
        <v>51.0</v>
      </c>
      <c r="I719" t="inlineStr">
        <is>
          <t xml:space="preserve">Хлопок 98%, Эластан 2%</t>
        </is>
      </c>
      <c r="J719" t="inlineStr">
        <is>
          <t xml:space="preserve">демисезон</t>
        </is>
      </c>
      <c r="K719"/>
      <c r="L719" t="inlineStr">
        <is>
          <t xml:space="preserve">6203423500</t>
        </is>
      </c>
      <c r="M719" t="inlineStr">
        <is>
          <t xml:space="preserve">Декларация № ЕАЭС № BY/112 11.01. ТР017 122.01 08246, до 19.04.2028</t>
        </is>
      </c>
      <c r="N719" t="inlineStr">
        <is>
          <t xml:space="preserve">34 × 25 × 2</t>
        </is>
      </c>
      <c r="O719" t="inlineStr">
        <is>
          <t xml:space="preserve">0,35</t>
        </is>
      </c>
      <c r="P719" t="inlineStr">
        <is>
          <t xml:space="preserve">4816148112590</t>
        </is>
      </c>
      <c r="Q719" s="3" t="str">
        <f>HYPERLINK("https://modify.by/img/245489432/1.webp","фото")</f>
        <v>фото</v>
      </c>
      <c r="R719" s="3" t="str">
        <f>HYPERLINK("https://modify.by/catalog/dzhinsy/245489432/?utm_source=price&amp;utm_medium=xlsx","открыть")</f>
        <v>открыть</v>
      </c>
    </row>
    <row r="720">
      <c r="A720" t="inlineStr">
        <is>
          <t xml:space="preserve">Мужской</t>
        </is>
      </c>
      <c r="B720" t="inlineStr">
        <is>
          <t xml:space="preserve">Джинсы</t>
        </is>
      </c>
      <c r="C720" t="inlineStr">
        <is>
          <t xml:space="preserve">Джинсы прямые классические светлые хлопок 98%, серый</t>
        </is>
      </c>
      <c r="D720" t="inlineStr">
        <is>
          <t xml:space="preserve">PA42M04серый</t>
        </is>
      </c>
      <c r="E720" t="inlineStr">
        <is>
          <t xml:space="preserve">серый, коричнево-серый</t>
        </is>
      </c>
      <c r="F720" t="inlineStr">
        <is>
          <t xml:space="preserve">48</t>
        </is>
      </c>
      <c r="G720">
        <v>45</v>
      </c>
      <c r="H720" s="2">
        <v>51.0</v>
      </c>
      <c r="I720" t="inlineStr">
        <is>
          <t xml:space="preserve">Хлопок 98%, Эластан 2%</t>
        </is>
      </c>
      <c r="J720" t="inlineStr">
        <is>
          <t xml:space="preserve">демисезон</t>
        </is>
      </c>
      <c r="K720"/>
      <c r="L720" t="inlineStr">
        <is>
          <t xml:space="preserve">6203423500</t>
        </is>
      </c>
      <c r="M720" t="inlineStr">
        <is>
          <t xml:space="preserve">Декларация № ЕАЭС № BY/112 11.01. ТР017 122.01 08246, до 19.04.2028</t>
        </is>
      </c>
      <c r="N720" t="inlineStr">
        <is>
          <t xml:space="preserve">34 × 25 × 2</t>
        </is>
      </c>
      <c r="O720" t="inlineStr">
        <is>
          <t xml:space="preserve">0,35</t>
        </is>
      </c>
      <c r="P720" t="inlineStr">
        <is>
          <t xml:space="preserve">4816148112606</t>
        </is>
      </c>
      <c r="Q720" s="3" t="str">
        <f>HYPERLINK("https://modify.by/img/245489432/1.webp","фото")</f>
        <v>фото</v>
      </c>
      <c r="R720" s="3" t="str">
        <f>HYPERLINK("https://modify.by/catalog/dzhinsy/245489432/?utm_source=price&amp;utm_medium=xlsx","открыть")</f>
        <v>открыть</v>
      </c>
    </row>
    <row r="721">
      <c r="A721" t="inlineStr">
        <is>
          <t xml:space="preserve">Мужской</t>
        </is>
      </c>
      <c r="B721" t="inlineStr">
        <is>
          <t xml:space="preserve">Джинсы</t>
        </is>
      </c>
      <c r="C721" t="inlineStr">
        <is>
          <t xml:space="preserve">Джинсы прямые классические светлые хлопок 98%, серый</t>
        </is>
      </c>
      <c r="D721" t="inlineStr">
        <is>
          <t xml:space="preserve">PA42M04серый</t>
        </is>
      </c>
      <c r="E721" t="inlineStr">
        <is>
          <t xml:space="preserve">серый, коричнево-серый</t>
        </is>
      </c>
      <c r="F721" t="inlineStr">
        <is>
          <t xml:space="preserve">50-176</t>
        </is>
      </c>
      <c r="G721">
        <v>17</v>
      </c>
      <c r="H721" s="2">
        <v>51.0</v>
      </c>
      <c r="I721" t="inlineStr">
        <is>
          <t xml:space="preserve">Хлопок 98%, Эластан 2%</t>
        </is>
      </c>
      <c r="J721" t="inlineStr">
        <is>
          <t xml:space="preserve">демисезон</t>
        </is>
      </c>
      <c r="K721"/>
      <c r="L721" t="inlineStr">
        <is>
          <t xml:space="preserve">6203423500</t>
        </is>
      </c>
      <c r="M721" t="inlineStr">
        <is>
          <t xml:space="preserve">Декларация № ЕАЭС № BY/112 11.01. ТР017 122.01 08246, до 19.04.2028</t>
        </is>
      </c>
      <c r="N721" t="inlineStr">
        <is>
          <t xml:space="preserve">34 × 25 × 2</t>
        </is>
      </c>
      <c r="O721" t="inlineStr">
        <is>
          <t xml:space="preserve">0,35</t>
        </is>
      </c>
      <c r="P721" t="inlineStr">
        <is>
          <t xml:space="preserve">4816148112613</t>
        </is>
      </c>
      <c r="Q721" s="3" t="str">
        <f>HYPERLINK("https://modify.by/img/245489432/1.webp","фото")</f>
        <v>фото</v>
      </c>
      <c r="R721" s="3" t="str">
        <f>HYPERLINK("https://modify.by/catalog/dzhinsy/245489432/?utm_source=price&amp;utm_medium=xlsx","открыть")</f>
        <v>открыть</v>
      </c>
    </row>
    <row r="722">
      <c r="A722" t="inlineStr">
        <is>
          <t xml:space="preserve">Мужской</t>
        </is>
      </c>
      <c r="B722" t="inlineStr">
        <is>
          <t xml:space="preserve">Кофты</t>
        </is>
      </c>
      <c r="C722" t="inlineStr">
        <is>
          <t xml:space="preserve">Кофта свитер с горлом на молнии</t>
        </is>
      </c>
      <c r="D722" t="inlineStr">
        <is>
          <t xml:space="preserve">SW22W12Темно-синий</t>
        </is>
      </c>
      <c r="E722" t="inlineStr">
        <is>
          <t xml:space="preserve">темно-синий</t>
        </is>
      </c>
      <c r="F722" t="inlineStr">
        <is>
          <t xml:space="preserve">46</t>
        </is>
      </c>
      <c r="G722">
        <v>1</v>
      </c>
      <c r="H722" s="2">
        <v>28.0</v>
      </c>
      <c r="I722" t="inlineStr">
        <is>
          <t xml:space="preserve">хлопок 88% полиамид 12%</t>
        </is>
      </c>
      <c r="J722"/>
      <c r="K722" t="inlineStr">
        <is>
          <t xml:space="preserve">Бангладеш</t>
        </is>
      </c>
      <c r="L722" t="inlineStr">
        <is>
          <t xml:space="preserve">6110209100</t>
        </is>
      </c>
      <c r="M722" t="inlineStr">
        <is>
          <t xml:space="preserve">Декларация № ЕАЭС № BY/112 11.01. ТР017 122.01 08246, до 19.04.2028</t>
        </is>
      </c>
      <c r="N722" t="inlineStr">
        <is>
          <t xml:space="preserve">24 × 6 × 20</t>
        </is>
      </c>
      <c r="O722" t="inlineStr">
        <is>
          <t xml:space="preserve">0,65</t>
        </is>
      </c>
      <c r="P722" t="inlineStr">
        <is>
          <t xml:space="preserve">2016957034072</t>
        </is>
      </c>
      <c r="Q722" s="3" t="str">
        <f>HYPERLINK("https://modify.by/img/97753784/1.webp","фото")</f>
        <v>фото</v>
      </c>
      <c r="R722" s="3" t="str">
        <f>HYPERLINK("https://modify.by/catalog/kofty/97753784/?utm_source=price&amp;utm_medium=xlsx","открыть")</f>
        <v>открыть</v>
      </c>
    </row>
    <row r="723">
      <c r="A723" t="inlineStr">
        <is>
          <t xml:space="preserve">Мужской</t>
        </is>
      </c>
      <c r="B723" t="inlineStr">
        <is>
          <t xml:space="preserve">Кофты</t>
        </is>
      </c>
      <c r="C723" t="inlineStr">
        <is>
          <t xml:space="preserve">Кофта свитер с горлом на молнии</t>
        </is>
      </c>
      <c r="D723" t="inlineStr">
        <is>
          <t xml:space="preserve">SW22W12Темно-синий</t>
        </is>
      </c>
      <c r="E723" t="inlineStr">
        <is>
          <t xml:space="preserve">темно-синий</t>
        </is>
      </c>
      <c r="F723" t="inlineStr">
        <is>
          <t xml:space="preserve">46</t>
        </is>
      </c>
      <c r="G723">
        <v>1</v>
      </c>
      <c r="H723" s="2">
        <v>28.0</v>
      </c>
      <c r="I723" t="inlineStr">
        <is>
          <t xml:space="preserve">хлопок 88% полиамид 12%</t>
        </is>
      </c>
      <c r="J723"/>
      <c r="K723" t="inlineStr">
        <is>
          <t xml:space="preserve">Бангладеш</t>
        </is>
      </c>
      <c r="L723" t="inlineStr">
        <is>
          <t xml:space="preserve">6110209100</t>
        </is>
      </c>
      <c r="M723" t="inlineStr">
        <is>
          <t xml:space="preserve">Декларация № ЕАЭС № BY/112 11.01. ТР017 122.01 08246, до 19.04.2028</t>
        </is>
      </c>
      <c r="N723" t="inlineStr">
        <is>
          <t xml:space="preserve">24 × 6 × 20</t>
        </is>
      </c>
      <c r="O723" t="inlineStr">
        <is>
          <t xml:space="preserve">0,65</t>
        </is>
      </c>
      <c r="P723" t="inlineStr">
        <is>
          <t xml:space="preserve">4816148176486</t>
        </is>
      </c>
      <c r="Q723" s="3" t="str">
        <f>HYPERLINK("https://modify.by/img/97753784/1.webp","фото")</f>
        <v>фото</v>
      </c>
      <c r="R723" s="3" t="str">
        <f>HYPERLINK("https://modify.by/catalog/kofty/97753784/?utm_source=price&amp;utm_medium=xlsx","открыть")</f>
        <v>открыть</v>
      </c>
    </row>
    <row r="724">
      <c r="A724" t="inlineStr">
        <is>
          <t xml:space="preserve">Мужской</t>
        </is>
      </c>
      <c r="B724" t="inlineStr">
        <is>
          <t xml:space="preserve">Кофты</t>
        </is>
      </c>
      <c r="C724" t="inlineStr">
        <is>
          <t xml:space="preserve">Свитер с воротником на молнии</t>
        </is>
      </c>
      <c r="D724" t="inlineStr">
        <is>
          <t xml:space="preserve">SW42M10темно-синий</t>
        </is>
      </c>
      <c r="E724" t="inlineStr">
        <is>
          <t xml:space="preserve">темно-синий</t>
        </is>
      </c>
      <c r="F724" t="inlineStr">
        <is>
          <t xml:space="preserve">52</t>
        </is>
      </c>
      <c r="G724">
        <v>19</v>
      </c>
      <c r="H724" s="2">
        <v>35.0</v>
      </c>
      <c r="I724" t="inlineStr">
        <is>
          <t xml:space="preserve">100% акрил</t>
        </is>
      </c>
      <c r="J724" t="inlineStr">
        <is>
          <t xml:space="preserve">демисезон</t>
        </is>
      </c>
      <c r="K724" t="inlineStr">
        <is>
          <t xml:space="preserve">Бангладеш</t>
        </is>
      </c>
      <c r="L724" t="inlineStr">
        <is>
          <t xml:space="preserve">6110209100</t>
        </is>
      </c>
      <c r="M724" t="inlineStr">
        <is>
          <t xml:space="preserve">Декларация № ЕАЭС № BY/112 11.01. ТР017 122.01 08246, до 19.04.2028</t>
        </is>
      </c>
      <c r="N724" t="inlineStr">
        <is>
          <t xml:space="preserve">35 × 25 × 3</t>
        </is>
      </c>
      <c r="O724" t="inlineStr">
        <is>
          <t xml:space="preserve">0,45</t>
        </is>
      </c>
      <c r="P724" t="inlineStr">
        <is>
          <t xml:space="preserve">4816148146915</t>
        </is>
      </c>
      <c r="Q724" s="3" t="str">
        <f>HYPERLINK("https://modify.by/img/258242657/1.webp","фото")</f>
        <v>фото</v>
      </c>
      <c r="R724" s="3" t="str">
        <f>HYPERLINK("https://modify.by/catalog/kofty/258242657/?utm_source=price&amp;utm_medium=xlsx","открыть")</f>
        <v>открыть</v>
      </c>
    </row>
    <row r="725">
      <c r="A725" t="inlineStr">
        <is>
          <t xml:space="preserve">Мужской</t>
        </is>
      </c>
      <c r="B725" t="inlineStr">
        <is>
          <t xml:space="preserve">Кофты</t>
        </is>
      </c>
      <c r="C725" t="inlineStr">
        <is>
          <t xml:space="preserve">Свитер с воротником на молнии</t>
        </is>
      </c>
      <c r="D725" t="inlineStr">
        <is>
          <t xml:space="preserve">SW42M10темно-синий</t>
        </is>
      </c>
      <c r="E725" t="inlineStr">
        <is>
          <t xml:space="preserve">темно-синий</t>
        </is>
      </c>
      <c r="F725" t="inlineStr">
        <is>
          <t xml:space="preserve">54</t>
        </is>
      </c>
      <c r="G725">
        <v>25</v>
      </c>
      <c r="H725" s="2">
        <v>35.0</v>
      </c>
      <c r="I725" t="inlineStr">
        <is>
          <t xml:space="preserve">100% акрил</t>
        </is>
      </c>
      <c r="J725" t="inlineStr">
        <is>
          <t xml:space="preserve">демисезон</t>
        </is>
      </c>
      <c r="K725" t="inlineStr">
        <is>
          <t xml:space="preserve">Бангладеш</t>
        </is>
      </c>
      <c r="L725" t="inlineStr">
        <is>
          <t xml:space="preserve">6110209100</t>
        </is>
      </c>
      <c r="M725" t="inlineStr">
        <is>
          <t xml:space="preserve">Декларация № ЕАЭС № BY/112 11.01. ТР017 122.01 08246, до 19.04.2028</t>
        </is>
      </c>
      <c r="N725" t="inlineStr">
        <is>
          <t xml:space="preserve">35 × 25 × 3</t>
        </is>
      </c>
      <c r="O725" t="inlineStr">
        <is>
          <t xml:space="preserve">0,45</t>
        </is>
      </c>
      <c r="P725" t="inlineStr">
        <is>
          <t xml:space="preserve">4816148146922</t>
        </is>
      </c>
      <c r="Q725" s="3" t="str">
        <f>HYPERLINK("https://modify.by/img/258242657/1.webp","фото")</f>
        <v>фото</v>
      </c>
      <c r="R725" s="3" t="str">
        <f>HYPERLINK("https://modify.by/catalog/kofty/258242657/?utm_source=price&amp;utm_medium=xlsx","открыть")</f>
        <v>открыть</v>
      </c>
    </row>
    <row r="726">
      <c r="A726" t="inlineStr">
        <is>
          <t xml:space="preserve">Мужской</t>
        </is>
      </c>
      <c r="B726" t="inlineStr">
        <is>
          <t xml:space="preserve">Кофты</t>
        </is>
      </c>
      <c r="C726" t="inlineStr">
        <is>
          <t xml:space="preserve">Свитер с воротником на молнии</t>
        </is>
      </c>
      <c r="D726" t="inlineStr">
        <is>
          <t xml:space="preserve">SW42M10темно-синий</t>
        </is>
      </c>
      <c r="E726" t="inlineStr">
        <is>
          <t xml:space="preserve">темно-синий</t>
        </is>
      </c>
      <c r="F726" t="inlineStr">
        <is>
          <t xml:space="preserve">56</t>
        </is>
      </c>
      <c r="G726">
        <v>16</v>
      </c>
      <c r="H726" s="2">
        <v>35.0</v>
      </c>
      <c r="I726" t="inlineStr">
        <is>
          <t xml:space="preserve">100% акрил</t>
        </is>
      </c>
      <c r="J726" t="inlineStr">
        <is>
          <t xml:space="preserve">демисезон</t>
        </is>
      </c>
      <c r="K726" t="inlineStr">
        <is>
          <t xml:space="preserve">Бангладеш</t>
        </is>
      </c>
      <c r="L726" t="inlineStr">
        <is>
          <t xml:space="preserve">6110209100</t>
        </is>
      </c>
      <c r="M726" t="inlineStr">
        <is>
          <t xml:space="preserve">Декларация № ЕАЭС № BY/112 11.01. ТР017 122.01 08246, до 19.04.2028</t>
        </is>
      </c>
      <c r="N726" t="inlineStr">
        <is>
          <t xml:space="preserve">35 × 25 × 3</t>
        </is>
      </c>
      <c r="O726" t="inlineStr">
        <is>
          <t xml:space="preserve">0,45</t>
        </is>
      </c>
      <c r="P726" t="inlineStr">
        <is>
          <t xml:space="preserve">4816148146939</t>
        </is>
      </c>
      <c r="Q726" s="3" t="str">
        <f>HYPERLINK("https://modify.by/img/258242657/1.webp","фото")</f>
        <v>фото</v>
      </c>
      <c r="R726" s="3" t="str">
        <f>HYPERLINK("https://modify.by/catalog/kofty/258242657/?utm_source=price&amp;utm_medium=xlsx","открыть")</f>
        <v>открыть</v>
      </c>
    </row>
    <row r="727">
      <c r="A727" t="inlineStr">
        <is>
          <t xml:space="preserve">Мужской</t>
        </is>
      </c>
      <c r="B727" t="inlineStr">
        <is>
          <t xml:space="preserve">Лонгсливы</t>
        </is>
      </c>
      <c r="C727" t="inlineStr">
        <is>
          <t xml:space="preserve">Солнцезащитная кофта лонгслив на молнии джерси UPF 50+, белый</t>
        </is>
      </c>
      <c r="D727" t="inlineStr">
        <is>
          <t xml:space="preserve">T252SSM02_белый</t>
        </is>
      </c>
      <c r="E727" t="inlineStr">
        <is>
          <t xml:space="preserve">белый</t>
        </is>
      </c>
      <c r="F727" t="inlineStr">
        <is>
          <t xml:space="preserve">54</t>
        </is>
      </c>
      <c r="G727">
        <v>1</v>
      </c>
      <c r="H727" s="2">
        <v>33.0</v>
      </c>
      <c r="I727" t="inlineStr">
        <is>
          <t xml:space="preserve">87% нейлон, 13% спандекс</t>
        </is>
      </c>
      <c r="J727" t="inlineStr">
        <is>
          <t xml:space="preserve">круглогодичный</t>
        </is>
      </c>
      <c r="K727" t="inlineStr">
        <is>
          <t xml:space="preserve">Китай</t>
        </is>
      </c>
      <c r="L727" t="inlineStr">
        <is>
          <t xml:space="preserve">6110309900</t>
        </is>
      </c>
      <c r="M727" t="inlineStr">
        <is>
          <t xml:space="preserve">Декларация № ЕАЭС N RU Д-CN.РА02.В.44060/24, до 28.02.2029</t>
        </is>
      </c>
      <c r="N727" t="inlineStr">
        <is>
          <t xml:space="preserve">36 × 28 × 3</t>
        </is>
      </c>
      <c r="O727" t="inlineStr">
        <is>
          <t xml:space="preserve">0,3</t>
        </is>
      </c>
      <c r="P727" t="inlineStr">
        <is>
          <t xml:space="preserve">4816148182722</t>
        </is>
      </c>
      <c r="Q727" s="3" t="str">
        <f>HYPERLINK("https://modify.by/img/974470106/1.webp","фото")</f>
        <v>фото</v>
      </c>
      <c r="R727" s="3" t="str">
        <f>HYPERLINK("https://modify.by/catalog/longslivy/974470106/?utm_source=price&amp;utm_medium=xlsx","открыть")</f>
        <v>открыть</v>
      </c>
    </row>
    <row r="728">
      <c r="A728" t="inlineStr">
        <is>
          <t xml:space="preserve">Мужской</t>
        </is>
      </c>
      <c r="B728" t="inlineStr">
        <is>
          <t xml:space="preserve">Лонгсливы</t>
        </is>
      </c>
      <c r="C728" t="inlineStr">
        <is>
          <t xml:space="preserve">Солнцезащитная кофта лонгслив на молнии джерси UPF 50+, голубой</t>
        </is>
      </c>
      <c r="D728" t="inlineStr">
        <is>
          <t xml:space="preserve">T252SSM02/BY_голубой</t>
        </is>
      </c>
      <c r="E728" t="inlineStr">
        <is>
          <t xml:space="preserve">голубой</t>
        </is>
      </c>
      <c r="F728" t="inlineStr">
        <is>
          <t xml:space="preserve">50</t>
        </is>
      </c>
      <c r="G728">
        <v>1</v>
      </c>
      <c r="H728" s="2">
        <v>33.0</v>
      </c>
      <c r="I728" t="inlineStr">
        <is>
          <t xml:space="preserve">87% нейлон, 13% спандекс</t>
        </is>
      </c>
      <c r="J728" t="inlineStr">
        <is>
          <t xml:space="preserve">круглогодичный</t>
        </is>
      </c>
      <c r="K728" t="inlineStr">
        <is>
          <t xml:space="preserve">Китай</t>
        </is>
      </c>
      <c r="L728" t="inlineStr">
        <is>
          <t xml:space="preserve">6110309900</t>
        </is>
      </c>
      <c r="M728" t="inlineStr">
        <is>
          <t xml:space="preserve">Декларация № ЕАЭС N RU Д-CN.РА02.В.44060/24, до 28.02.2029</t>
        </is>
      </c>
      <c r="N728" t="inlineStr">
        <is>
          <t xml:space="preserve">36 × 28 × 3</t>
        </is>
      </c>
      <c r="O728" t="inlineStr">
        <is>
          <t xml:space="preserve">0,3</t>
        </is>
      </c>
      <c r="P728" t="inlineStr">
        <is>
          <t xml:space="preserve">4816148175137</t>
        </is>
      </c>
      <c r="Q728" s="3" t="str">
        <f>HYPERLINK("https://modify.by/img/790727847/1.webp","фото")</f>
        <v>фото</v>
      </c>
      <c r="R728" s="3" t="str">
        <f>HYPERLINK("https://modify.by/catalog/longslivy/790727847/?utm_source=price&amp;utm_medium=xlsx","открыть")</f>
        <v>открыть</v>
      </c>
    </row>
    <row r="729">
      <c r="A729" t="inlineStr">
        <is>
          <t xml:space="preserve">Мужской</t>
        </is>
      </c>
      <c r="B729" t="inlineStr">
        <is>
          <t xml:space="preserve">Лонгсливы</t>
        </is>
      </c>
      <c r="C729" t="inlineStr">
        <is>
          <t xml:space="preserve">Солнцезащитная кофта лонгслив на молнии джерси UPF 50+, серый</t>
        </is>
      </c>
      <c r="D729" t="inlineStr">
        <is>
          <t xml:space="preserve">T252SSM02/BY_серый</t>
        </is>
      </c>
      <c r="E729" t="inlineStr">
        <is>
          <t xml:space="preserve">серый</t>
        </is>
      </c>
      <c r="F729" t="inlineStr">
        <is>
          <t xml:space="preserve">46</t>
        </is>
      </c>
      <c r="G729">
        <v>5</v>
      </c>
      <c r="H729" s="2">
        <v>33.0</v>
      </c>
      <c r="I729" t="inlineStr">
        <is>
          <t xml:space="preserve">87% нейлон, 13% спандекс</t>
        </is>
      </c>
      <c r="J729" t="inlineStr">
        <is>
          <t xml:space="preserve">круглогодичный</t>
        </is>
      </c>
      <c r="K729" t="inlineStr">
        <is>
          <t xml:space="preserve">Китай</t>
        </is>
      </c>
      <c r="L729" t="inlineStr">
        <is>
          <t xml:space="preserve">6110309900</t>
        </is>
      </c>
      <c r="M729" t="inlineStr">
        <is>
          <t xml:space="preserve">Декларация № ЕАЭС N RU Д-CN.РА02.В.44060/24, до 28.02.2029</t>
        </is>
      </c>
      <c r="N729" t="inlineStr">
        <is>
          <t xml:space="preserve">36 × 28 × 2</t>
        </is>
      </c>
      <c r="O729" t="inlineStr">
        <is>
          <t xml:space="preserve">0,3</t>
        </is>
      </c>
      <c r="P729" t="inlineStr">
        <is>
          <t xml:space="preserve">4816148182739</t>
        </is>
      </c>
      <c r="Q729" s="3" t="str">
        <f>HYPERLINK("https://modify.by/img/790727846/1.webp","фото")</f>
        <v>фото</v>
      </c>
      <c r="R729" s="3" t="str">
        <f>HYPERLINK("https://modify.by/catalog/longslivy/790727846/?utm_source=price&amp;utm_medium=xlsx","открыть")</f>
        <v>открыть</v>
      </c>
    </row>
    <row r="730">
      <c r="A730" t="inlineStr">
        <is>
          <t xml:space="preserve">Мужской</t>
        </is>
      </c>
      <c r="B730" t="inlineStr">
        <is>
          <t xml:space="preserve">Лонгсливы</t>
        </is>
      </c>
      <c r="C730" t="inlineStr">
        <is>
          <t xml:space="preserve">Солнцезащитная кофта лонгслив на молнии джерси UPF 50+, серый</t>
        </is>
      </c>
      <c r="D730" t="inlineStr">
        <is>
          <t xml:space="preserve">T252SSM02/BY_серый</t>
        </is>
      </c>
      <c r="E730" t="inlineStr">
        <is>
          <t xml:space="preserve">серый</t>
        </is>
      </c>
      <c r="F730" t="inlineStr">
        <is>
          <t xml:space="preserve">54</t>
        </is>
      </c>
      <c r="G730">
        <v>2</v>
      </c>
      <c r="H730" s="2">
        <v>33.0</v>
      </c>
      <c r="I730" t="inlineStr">
        <is>
          <t xml:space="preserve">87% нейлон, 13% спандекс</t>
        </is>
      </c>
      <c r="J730" t="inlineStr">
        <is>
          <t xml:space="preserve">круглогодичный</t>
        </is>
      </c>
      <c r="K730" t="inlineStr">
        <is>
          <t xml:space="preserve">Китай</t>
        </is>
      </c>
      <c r="L730" t="inlineStr">
        <is>
          <t xml:space="preserve">6110309900</t>
        </is>
      </c>
      <c r="M730" t="inlineStr">
        <is>
          <t xml:space="preserve">Декларация № ЕАЭС N RU Д-CN.РА02.В.44060/24, до 28.02.2029</t>
        </is>
      </c>
      <c r="N730" t="inlineStr">
        <is>
          <t xml:space="preserve">36 × 28 × 2</t>
        </is>
      </c>
      <c r="O730" t="inlineStr">
        <is>
          <t xml:space="preserve">0,3</t>
        </is>
      </c>
      <c r="P730" t="inlineStr">
        <is>
          <t xml:space="preserve">4816148175113</t>
        </is>
      </c>
      <c r="Q730" s="3" t="str">
        <f>HYPERLINK("https://modify.by/img/790727846/1.webp","фото")</f>
        <v>фото</v>
      </c>
      <c r="R730" s="3" t="str">
        <f>HYPERLINK("https://modify.by/catalog/longslivy/790727846/?utm_source=price&amp;utm_medium=xlsx","открыть")</f>
        <v>открыть</v>
      </c>
    </row>
    <row r="731">
      <c r="A731" t="inlineStr">
        <is>
          <t xml:space="preserve">Мужской</t>
        </is>
      </c>
      <c r="B731" t="inlineStr">
        <is>
          <t xml:space="preserve">Панамы</t>
        </is>
      </c>
      <c r="C731" t="inlineStr">
        <is>
          <t xml:space="preserve">Мужская тактическая панама Modify черная SPF 50+ летняя</t>
        </is>
      </c>
      <c r="D731" t="inlineStr">
        <is>
          <t xml:space="preserve">T2HA42U02_BY,_Черный</t>
        </is>
      </c>
      <c r="E731" t="inlineStr">
        <is>
          <t xml:space="preserve">черный</t>
        </is>
      </c>
      <c r="F731" t="inlineStr">
        <is>
          <t xml:space="preserve">56-58</t>
        </is>
      </c>
      <c r="G731">
        <v>67</v>
      </c>
      <c r="H731" s="2">
        <v>25.0</v>
      </c>
      <c r="I731" t="inlineStr">
        <is>
          <t xml:space="preserve">100% полиэфирные волокна</t>
        </is>
      </c>
      <c r="J731" t="inlineStr">
        <is>
          <t xml:space="preserve">лето</t>
        </is>
      </c>
      <c r="K731" t="inlineStr">
        <is>
          <t xml:space="preserve">Китай</t>
        </is>
      </c>
      <c r="L731" t="inlineStr">
        <is>
          <t xml:space="preserve">6505009000</t>
        </is>
      </c>
      <c r="M731" t="inlineStr">
        <is>
          <t xml:space="preserve">по запросу</t>
        </is>
      </c>
      <c r="N731" t="inlineStr">
        <is>
          <t xml:space="preserve">19 × 15 × 3</t>
        </is>
      </c>
      <c r="O731" t="inlineStr">
        <is>
          <t xml:space="preserve">0,12</t>
        </is>
      </c>
      <c r="P731" t="inlineStr">
        <is>
          <t xml:space="preserve">4816148180377</t>
        </is>
      </c>
      <c r="Q731" s="3" t="str">
        <f>HYPERLINK("https://modify.by/img/880141469/1.webp","фото")</f>
        <v>фото</v>
      </c>
      <c r="R731" s="3" t="str">
        <f>HYPERLINK("https://modify.by/catalog/panamy/880141469/?utm_source=price&amp;utm_medium=xlsx","открыть")</f>
        <v>открыть</v>
      </c>
    </row>
    <row r="732">
      <c r="A732" t="inlineStr">
        <is>
          <t xml:space="preserve">Мужской</t>
        </is>
      </c>
      <c r="B732" t="inlineStr">
        <is>
          <t xml:space="preserve">Плавки</t>
        </is>
      </c>
      <c r="C732" t="inlineStr">
        <is>
          <t xml:space="preserve">Шорты для плавания летние пляжные с сеткой, белый</t>
        </is>
      </c>
      <c r="D732" t="inlineStr">
        <is>
          <t xml:space="preserve">BS32M03белый,зеленый,желтый</t>
        </is>
      </c>
      <c r="E732" t="inlineStr">
        <is>
          <t xml:space="preserve">белый, зеленый, желтый, ярко-розовый</t>
        </is>
      </c>
      <c r="F732" t="inlineStr">
        <is>
          <t xml:space="preserve">44</t>
        </is>
      </c>
      <c r="G732">
        <v>14</v>
      </c>
      <c r="H732" s="2">
        <v>19.0</v>
      </c>
      <c r="I732" t="inlineStr">
        <is>
          <t xml:space="preserve">100% полиэстер</t>
        </is>
      </c>
      <c r="J732"/>
      <c r="K732" t="inlineStr">
        <is>
          <t xml:space="preserve">Бангладеш</t>
        </is>
      </c>
      <c r="L732" t="inlineStr">
        <is>
          <t xml:space="preserve">6211110000</t>
        </is>
      </c>
      <c r="M732" t="inlineStr">
        <is>
          <t xml:space="preserve">Декларация № ЕАЭС № BY/112 11.01. ТР017 122.01 08246, до 19.04.2028</t>
        </is>
      </c>
      <c r="N732" t="inlineStr">
        <is>
          <t xml:space="preserve">27 × 25 × 1</t>
        </is>
      </c>
      <c r="O732" t="inlineStr">
        <is>
          <t xml:space="preserve">0,2</t>
        </is>
      </c>
      <c r="P732" t="inlineStr">
        <is>
          <t xml:space="preserve">2038096204109</t>
        </is>
      </c>
      <c r="Q732" s="3" t="str">
        <f>HYPERLINK("https://modify.by/img/215457004/1.webp","фото")</f>
        <v>фото</v>
      </c>
      <c r="R732" s="3" t="str">
        <f>HYPERLINK("https://modify.by/catalog/plavki/215457004/?utm_source=price&amp;utm_medium=xlsx","открыть")</f>
        <v>открыть</v>
      </c>
    </row>
    <row r="733">
      <c r="A733" t="inlineStr">
        <is>
          <t xml:space="preserve">Мужской</t>
        </is>
      </c>
      <c r="B733" t="inlineStr">
        <is>
          <t xml:space="preserve">Плавки</t>
        </is>
      </c>
      <c r="C733" t="inlineStr">
        <is>
          <t xml:space="preserve">Шорты для плавания летние пляжные с сеткой, белый</t>
        </is>
      </c>
      <c r="D733" t="inlineStr">
        <is>
          <t xml:space="preserve">BS32M03белый,зеленый,желтый</t>
        </is>
      </c>
      <c r="E733" t="inlineStr">
        <is>
          <t xml:space="preserve">белый, зеленый, желтый, ярко-розовый</t>
        </is>
      </c>
      <c r="F733" t="inlineStr">
        <is>
          <t xml:space="preserve">44</t>
        </is>
      </c>
      <c r="G733">
        <v>14</v>
      </c>
      <c r="H733" s="2">
        <v>19.0</v>
      </c>
      <c r="I733" t="inlineStr">
        <is>
          <t xml:space="preserve">100% полиэстер</t>
        </is>
      </c>
      <c r="J733"/>
      <c r="K733" t="inlineStr">
        <is>
          <t xml:space="preserve">Бангладеш</t>
        </is>
      </c>
      <c r="L733" t="inlineStr">
        <is>
          <t xml:space="preserve">6211110000</t>
        </is>
      </c>
      <c r="M733" t="inlineStr">
        <is>
          <t xml:space="preserve">Декларация № ЕАЭС № BY/112 11.01. ТР017 122.01 08246, до 19.04.2028</t>
        </is>
      </c>
      <c r="N733" t="inlineStr">
        <is>
          <t xml:space="preserve">27 × 25 × 1</t>
        </is>
      </c>
      <c r="O733" t="inlineStr">
        <is>
          <t xml:space="preserve">0,2</t>
        </is>
      </c>
      <c r="P733" t="inlineStr">
        <is>
          <t xml:space="preserve">4816148131980</t>
        </is>
      </c>
      <c r="Q733" s="3" t="str">
        <f>HYPERLINK("https://modify.by/img/215457004/1.webp","фото")</f>
        <v>фото</v>
      </c>
      <c r="R733" s="3" t="str">
        <f>HYPERLINK("https://modify.by/catalog/plavki/215457004/?utm_source=price&amp;utm_medium=xlsx","открыть")</f>
        <v>открыть</v>
      </c>
    </row>
    <row r="734">
      <c r="A734" t="inlineStr">
        <is>
          <t xml:space="preserve">Мужской</t>
        </is>
      </c>
      <c r="B734" t="inlineStr">
        <is>
          <t xml:space="preserve">Плавки</t>
        </is>
      </c>
      <c r="C734" t="inlineStr">
        <is>
          <t xml:space="preserve">Шорты для плавания летние пляжные с сеткой, белый</t>
        </is>
      </c>
      <c r="D734" t="inlineStr">
        <is>
          <t xml:space="preserve">BS32M03белый,зеленый,желтый</t>
        </is>
      </c>
      <c r="E734" t="inlineStr">
        <is>
          <t xml:space="preserve">белый, зеленый, желтый, ярко-розовый</t>
        </is>
      </c>
      <c r="F734" t="inlineStr">
        <is>
          <t xml:space="preserve">46</t>
        </is>
      </c>
      <c r="G734">
        <v>3</v>
      </c>
      <c r="H734" s="2">
        <v>19.0</v>
      </c>
      <c r="I734" t="inlineStr">
        <is>
          <t xml:space="preserve">100% полиэстер</t>
        </is>
      </c>
      <c r="J734"/>
      <c r="K734" t="inlineStr">
        <is>
          <t xml:space="preserve">Бангладеш</t>
        </is>
      </c>
      <c r="L734" t="inlineStr">
        <is>
          <t xml:space="preserve">6211110000</t>
        </is>
      </c>
      <c r="M734" t="inlineStr">
        <is>
          <t xml:space="preserve">Декларация № ЕАЭС № BY/112 11.01. ТР017 122.01 08246, до 19.04.2028</t>
        </is>
      </c>
      <c r="N734" t="inlineStr">
        <is>
          <t xml:space="preserve">27 × 25 × 1</t>
        </is>
      </c>
      <c r="O734" t="inlineStr">
        <is>
          <t xml:space="preserve">0,2</t>
        </is>
      </c>
      <c r="P734" t="inlineStr">
        <is>
          <t xml:space="preserve">2038096204116</t>
        </is>
      </c>
      <c r="Q734" s="3" t="str">
        <f>HYPERLINK("https://modify.by/img/215457004/1.webp","фото")</f>
        <v>фото</v>
      </c>
      <c r="R734" s="3" t="str">
        <f>HYPERLINK("https://modify.by/catalog/plavki/215457004/?utm_source=price&amp;utm_medium=xlsx","открыть")</f>
        <v>открыть</v>
      </c>
    </row>
    <row r="735">
      <c r="A735" t="inlineStr">
        <is>
          <t xml:space="preserve">Мужской</t>
        </is>
      </c>
      <c r="B735" t="inlineStr">
        <is>
          <t xml:space="preserve">Плавки</t>
        </is>
      </c>
      <c r="C735" t="inlineStr">
        <is>
          <t xml:space="preserve">Шорты для плавания летние пляжные с сеткой, белый</t>
        </is>
      </c>
      <c r="D735" t="inlineStr">
        <is>
          <t xml:space="preserve">BS32M03белый,зеленый,желтый</t>
        </is>
      </c>
      <c r="E735" t="inlineStr">
        <is>
          <t xml:space="preserve">белый, зеленый, желтый, ярко-розовый</t>
        </is>
      </c>
      <c r="F735" t="inlineStr">
        <is>
          <t xml:space="preserve">46</t>
        </is>
      </c>
      <c r="G735">
        <v>3</v>
      </c>
      <c r="H735" s="2">
        <v>19.0</v>
      </c>
      <c r="I735" t="inlineStr">
        <is>
          <t xml:space="preserve">100% полиэстер</t>
        </is>
      </c>
      <c r="J735"/>
      <c r="K735" t="inlineStr">
        <is>
          <t xml:space="preserve">Бангладеш</t>
        </is>
      </c>
      <c r="L735" t="inlineStr">
        <is>
          <t xml:space="preserve">6211110000</t>
        </is>
      </c>
      <c r="M735" t="inlineStr">
        <is>
          <t xml:space="preserve">Декларация № ЕАЭС № BY/112 11.01. ТР017 122.01 08246, до 19.04.2028</t>
        </is>
      </c>
      <c r="N735" t="inlineStr">
        <is>
          <t xml:space="preserve">27 × 25 × 1</t>
        </is>
      </c>
      <c r="O735" t="inlineStr">
        <is>
          <t xml:space="preserve">0,2</t>
        </is>
      </c>
      <c r="P735" t="inlineStr">
        <is>
          <t xml:space="preserve">4816148131997</t>
        </is>
      </c>
      <c r="Q735" s="3" t="str">
        <f>HYPERLINK("https://modify.by/img/215457004/1.webp","фото")</f>
        <v>фото</v>
      </c>
      <c r="R735" s="3" t="str">
        <f>HYPERLINK("https://modify.by/catalog/plavki/215457004/?utm_source=price&amp;utm_medium=xlsx","открыть")</f>
        <v>открыть</v>
      </c>
    </row>
    <row r="736">
      <c r="A736" t="inlineStr">
        <is>
          <t xml:space="preserve">Мужской</t>
        </is>
      </c>
      <c r="B736" t="inlineStr">
        <is>
          <t xml:space="preserve">Плавки</t>
        </is>
      </c>
      <c r="C736" t="inlineStr">
        <is>
          <t xml:space="preserve">Шорты для плавания летние пляжные с сеткой, желтый</t>
        </is>
      </c>
      <c r="D736" t="inlineStr">
        <is>
          <t xml:space="preserve">BS32M03розовый,желтый</t>
        </is>
      </c>
      <c r="E736" t="inlineStr">
        <is>
          <t xml:space="preserve">розовый, желтый, голубой</t>
        </is>
      </c>
      <c r="F736" t="inlineStr">
        <is>
          <t xml:space="preserve">48</t>
        </is>
      </c>
      <c r="G736">
        <v>12</v>
      </c>
      <c r="H736" s="2">
        <v>19.0</v>
      </c>
      <c r="I736" t="inlineStr">
        <is>
          <t xml:space="preserve">100% полиэстер</t>
        </is>
      </c>
      <c r="J736"/>
      <c r="K736" t="inlineStr">
        <is>
          <t xml:space="preserve">Бангладеш</t>
        </is>
      </c>
      <c r="L736" t="inlineStr">
        <is>
          <t xml:space="preserve">6211110000</t>
        </is>
      </c>
      <c r="M736" t="inlineStr">
        <is>
          <t xml:space="preserve">Декларация № ЕАЭС № BY/112 11.01. ТР017 122.01 08246, до 19.04.2028</t>
        </is>
      </c>
      <c r="N736" t="inlineStr">
        <is>
          <t xml:space="preserve">27 × 25 × 1</t>
        </is>
      </c>
      <c r="O736" t="inlineStr">
        <is>
          <t xml:space="preserve">0,2</t>
        </is>
      </c>
      <c r="P736" t="inlineStr">
        <is>
          <t xml:space="preserve">2038096203676</t>
        </is>
      </c>
      <c r="Q736" s="3" t="str">
        <f>HYPERLINK("https://modify.by/img/215457001/1.webp","фото")</f>
        <v>фото</v>
      </c>
      <c r="R736" s="3" t="str">
        <f>HYPERLINK("https://modify.by/catalog/plavki/215457001/?utm_source=price&amp;utm_medium=xlsx","открыть")</f>
        <v>открыть</v>
      </c>
    </row>
    <row r="737">
      <c r="A737" t="inlineStr">
        <is>
          <t xml:space="preserve">Мужской</t>
        </is>
      </c>
      <c r="B737" t="inlineStr">
        <is>
          <t xml:space="preserve">Плавки</t>
        </is>
      </c>
      <c r="C737" t="inlineStr">
        <is>
          <t xml:space="preserve">Шорты для плавания летние пляжные с сеткой, желтый</t>
        </is>
      </c>
      <c r="D737" t="inlineStr">
        <is>
          <t xml:space="preserve">BS32M03розовый,желтый</t>
        </is>
      </c>
      <c r="E737" t="inlineStr">
        <is>
          <t xml:space="preserve">розовый, желтый, голубой</t>
        </is>
      </c>
      <c r="F737" t="inlineStr">
        <is>
          <t xml:space="preserve">48</t>
        </is>
      </c>
      <c r="G737">
        <v>12</v>
      </c>
      <c r="H737" s="2">
        <v>19.0</v>
      </c>
      <c r="I737" t="inlineStr">
        <is>
          <t xml:space="preserve">100% полиэстер</t>
        </is>
      </c>
      <c r="J737"/>
      <c r="K737" t="inlineStr">
        <is>
          <t xml:space="preserve">Бангладеш</t>
        </is>
      </c>
      <c r="L737" t="inlineStr">
        <is>
          <t xml:space="preserve">6211110000</t>
        </is>
      </c>
      <c r="M737" t="inlineStr">
        <is>
          <t xml:space="preserve">Декларация № ЕАЭС № BY/112 11.01. ТР017 122.01 08246, до 19.04.2028</t>
        </is>
      </c>
      <c r="N737" t="inlineStr">
        <is>
          <t xml:space="preserve">27 × 25 × 1</t>
        </is>
      </c>
      <c r="O737" t="inlineStr">
        <is>
          <t xml:space="preserve">0,2</t>
        </is>
      </c>
      <c r="P737" t="inlineStr">
        <is>
          <t xml:space="preserve">4816148131553</t>
        </is>
      </c>
      <c r="Q737" s="3" t="str">
        <f>HYPERLINK("https://modify.by/img/215457001/1.webp","фото")</f>
        <v>фото</v>
      </c>
      <c r="R737" s="3" t="str">
        <f>HYPERLINK("https://modify.by/catalog/plavki/215457001/?utm_source=price&amp;utm_medium=xlsx","открыть")</f>
        <v>открыть</v>
      </c>
    </row>
    <row r="738">
      <c r="A738" t="inlineStr">
        <is>
          <t xml:space="preserve">Мужской</t>
        </is>
      </c>
      <c r="B738" t="inlineStr">
        <is>
          <t xml:space="preserve">Плавки</t>
        </is>
      </c>
      <c r="C738" t="inlineStr">
        <is>
          <t xml:space="preserve">Шорты для плавания летние пляжные с сеткой, зеленый, арт. BS32M03зеленый,черный</t>
        </is>
      </c>
      <c r="D738" t="inlineStr">
        <is>
          <t xml:space="preserve">BS32M03зеленый,черный</t>
        </is>
      </c>
      <c r="E738" t="inlineStr">
        <is>
          <t xml:space="preserve">зеленый, черный, салатовый</t>
        </is>
      </c>
      <c r="F738" t="inlineStr">
        <is>
          <t xml:space="preserve">50</t>
        </is>
      </c>
      <c r="G738">
        <v>1</v>
      </c>
      <c r="H738" s="2">
        <v>19.0</v>
      </c>
      <c r="I738" t="inlineStr">
        <is>
          <t xml:space="preserve">100% полиэстер</t>
        </is>
      </c>
      <c r="J738"/>
      <c r="K738" t="inlineStr">
        <is>
          <t xml:space="preserve">Бангладеш</t>
        </is>
      </c>
      <c r="L738" t="inlineStr">
        <is>
          <t xml:space="preserve">6211110000</t>
        </is>
      </c>
      <c r="M738" t="inlineStr">
        <is>
          <t xml:space="preserve">Декларация № ЕАЭС № BY/112 11.01. ТР017 122.01 08246, до 19.04.2028</t>
        </is>
      </c>
      <c r="N738" t="inlineStr">
        <is>
          <t xml:space="preserve">27 × 25 × 1</t>
        </is>
      </c>
      <c r="O738" t="inlineStr">
        <is>
          <t xml:space="preserve">0,2</t>
        </is>
      </c>
      <c r="P738" t="inlineStr">
        <is>
          <t xml:space="preserve">2038096203485</t>
        </is>
      </c>
      <c r="Q738" s="3" t="str">
        <f>HYPERLINK("https://modify.by/img/215457010/1.webp","фото")</f>
        <v>фото</v>
      </c>
      <c r="R738" s="3" t="str">
        <f>HYPERLINK("https://modify.by/catalog/plavki/215457010/?utm_source=price&amp;utm_medium=xlsx","открыть")</f>
        <v>открыть</v>
      </c>
    </row>
    <row r="739">
      <c r="A739" t="inlineStr">
        <is>
          <t xml:space="preserve">Мужской</t>
        </is>
      </c>
      <c r="B739" t="inlineStr">
        <is>
          <t xml:space="preserve">Плавки</t>
        </is>
      </c>
      <c r="C739" t="inlineStr">
        <is>
          <t xml:space="preserve">Шорты для плавания летние пляжные с сеткой, зеленый, арт. BS32M03молочный,зеленый,желтый</t>
        </is>
      </c>
      <c r="D739" t="inlineStr">
        <is>
          <t xml:space="preserve">BS32M03молочный,зеленый,желтый</t>
        </is>
      </c>
      <c r="E739" t="inlineStr">
        <is>
          <t xml:space="preserve">молочный, зеленый, желтый, синий, ярко-розовый</t>
        </is>
      </c>
      <c r="F739" t="inlineStr">
        <is>
          <t xml:space="preserve">42</t>
        </is>
      </c>
      <c r="G739">
        <v>11</v>
      </c>
      <c r="H739" s="2">
        <v>19.0</v>
      </c>
      <c r="I739" t="inlineStr">
        <is>
          <t xml:space="preserve">100% полиэстер</t>
        </is>
      </c>
      <c r="J739"/>
      <c r="K739" t="inlineStr">
        <is>
          <t xml:space="preserve">Бангладеш</t>
        </is>
      </c>
      <c r="L739" t="inlineStr">
        <is>
          <t xml:space="preserve">6211110000</t>
        </is>
      </c>
      <c r="M739" t="inlineStr">
        <is>
          <t xml:space="preserve">Декларация № ЕАЭС № BY/112 11.01. ТР017 122.01 08246, до 19.04.2028</t>
        </is>
      </c>
      <c r="N739" t="inlineStr">
        <is>
          <t xml:space="preserve">27 × 25 × 1</t>
        </is>
      </c>
      <c r="O739" t="inlineStr">
        <is>
          <t xml:space="preserve">0,2</t>
        </is>
      </c>
      <c r="P739" t="inlineStr">
        <is>
          <t xml:space="preserve">2038096203843</t>
        </is>
      </c>
      <c r="Q739" s="3" t="str">
        <f>HYPERLINK("https://modify.by/img/215457021/1.webp","фото")</f>
        <v>фото</v>
      </c>
      <c r="R739" s="3" t="str">
        <f>HYPERLINK("https://modify.by/catalog/plavki/215457021/?utm_source=price&amp;utm_medium=xlsx","открыть")</f>
        <v>открыть</v>
      </c>
    </row>
    <row r="740">
      <c r="A740" t="inlineStr">
        <is>
          <t xml:space="preserve">Мужской</t>
        </is>
      </c>
      <c r="B740" t="inlineStr">
        <is>
          <t xml:space="preserve">Плавки</t>
        </is>
      </c>
      <c r="C740" t="inlineStr">
        <is>
          <t xml:space="preserve">Шорты для плавания летние пляжные с сеткой, зеленый, арт. BS32M03молочный,зеленый,желтый</t>
        </is>
      </c>
      <c r="D740" t="inlineStr">
        <is>
          <t xml:space="preserve">BS32M03молочный,зеленый,желтый</t>
        </is>
      </c>
      <c r="E740" t="inlineStr">
        <is>
          <t xml:space="preserve">молочный, зеленый, желтый, синий, ярко-розовый</t>
        </is>
      </c>
      <c r="F740" t="inlineStr">
        <is>
          <t xml:space="preserve">42</t>
        </is>
      </c>
      <c r="G740">
        <v>11</v>
      </c>
      <c r="H740" s="2">
        <v>19.0</v>
      </c>
      <c r="I740" t="inlineStr">
        <is>
          <t xml:space="preserve">100% полиэстер</t>
        </is>
      </c>
      <c r="J740"/>
      <c r="K740" t="inlineStr">
        <is>
          <t xml:space="preserve">Бангладеш</t>
        </is>
      </c>
      <c r="L740" t="inlineStr">
        <is>
          <t xml:space="preserve">6211110000</t>
        </is>
      </c>
      <c r="M740" t="inlineStr">
        <is>
          <t xml:space="preserve">Декларация № ЕАЭС № BY/112 11.01. ТР017 122.01 08246, до 19.04.2028</t>
        </is>
      </c>
      <c r="N740" t="inlineStr">
        <is>
          <t xml:space="preserve">27 × 25 × 1</t>
        </is>
      </c>
      <c r="O740" t="inlineStr">
        <is>
          <t xml:space="preserve">0,2</t>
        </is>
      </c>
      <c r="P740" t="inlineStr">
        <is>
          <t xml:space="preserve">4816148131720</t>
        </is>
      </c>
      <c r="Q740" s="3" t="str">
        <f>HYPERLINK("https://modify.by/img/215457021/1.webp","фото")</f>
        <v>фото</v>
      </c>
      <c r="R740" s="3" t="str">
        <f>HYPERLINK("https://modify.by/catalog/plavki/215457021/?utm_source=price&amp;utm_medium=xlsx","открыть")</f>
        <v>открыть</v>
      </c>
    </row>
    <row r="741">
      <c r="A741" t="inlineStr">
        <is>
          <t xml:space="preserve">Мужской</t>
        </is>
      </c>
      <c r="B741" t="inlineStr">
        <is>
          <t xml:space="preserve">Плавки</t>
        </is>
      </c>
      <c r="C741" t="inlineStr">
        <is>
          <t xml:space="preserve">Шорты для плавания летние пляжные с сеткой, зеленый, арт. BS32M03молочный,зеленый,желтый</t>
        </is>
      </c>
      <c r="D741" t="inlineStr">
        <is>
          <t xml:space="preserve">BS32M03молочный,зеленый,желтый</t>
        </is>
      </c>
      <c r="E741" t="inlineStr">
        <is>
          <t xml:space="preserve">молочный, зеленый, желтый, синий, ярко-розовый</t>
        </is>
      </c>
      <c r="F741" t="inlineStr">
        <is>
          <t xml:space="preserve">44</t>
        </is>
      </c>
      <c r="G741">
        <v>1</v>
      </c>
      <c r="H741" s="2">
        <v>19.0</v>
      </c>
      <c r="I741" t="inlineStr">
        <is>
          <t xml:space="preserve">100% полиэстер</t>
        </is>
      </c>
      <c r="J741"/>
      <c r="K741" t="inlineStr">
        <is>
          <t xml:space="preserve">Бангладеш</t>
        </is>
      </c>
      <c r="L741" t="inlineStr">
        <is>
          <t xml:space="preserve">6211110000</t>
        </is>
      </c>
      <c r="M741" t="inlineStr">
        <is>
          <t xml:space="preserve">Декларация № ЕАЭС № BY/112 11.01. ТР017 122.01 08246, до 19.04.2028</t>
        </is>
      </c>
      <c r="N741" t="inlineStr">
        <is>
          <t xml:space="preserve">27 × 25 × 1</t>
        </is>
      </c>
      <c r="O741" t="inlineStr">
        <is>
          <t xml:space="preserve">0,2</t>
        </is>
      </c>
      <c r="P741" t="inlineStr">
        <is>
          <t xml:space="preserve">2038096203850</t>
        </is>
      </c>
      <c r="Q741" s="3" t="str">
        <f>HYPERLINK("https://modify.by/img/215457021/1.webp","фото")</f>
        <v>фото</v>
      </c>
      <c r="R741" s="3" t="str">
        <f>HYPERLINK("https://modify.by/catalog/plavki/215457021/?utm_source=price&amp;utm_medium=xlsx","открыть")</f>
        <v>открыть</v>
      </c>
    </row>
    <row r="742">
      <c r="A742" t="inlineStr">
        <is>
          <t xml:space="preserve">Мужской</t>
        </is>
      </c>
      <c r="B742" t="inlineStr">
        <is>
          <t xml:space="preserve">Плавки</t>
        </is>
      </c>
      <c r="C742" t="inlineStr">
        <is>
          <t xml:space="preserve">Шорты для плавания летние пляжные с сеткой, зеленый, арт. BS32M03молочный,зеленый,желтый</t>
        </is>
      </c>
      <c r="D742" t="inlineStr">
        <is>
          <t xml:space="preserve">BS32M03молочный,зеленый,желтый</t>
        </is>
      </c>
      <c r="E742" t="inlineStr">
        <is>
          <t xml:space="preserve">молочный, зеленый, желтый, синий, ярко-розовый</t>
        </is>
      </c>
      <c r="F742" t="inlineStr">
        <is>
          <t xml:space="preserve">48</t>
        </is>
      </c>
      <c r="G742">
        <v>6</v>
      </c>
      <c r="H742" s="2">
        <v>19.0</v>
      </c>
      <c r="I742" t="inlineStr">
        <is>
          <t xml:space="preserve">100% полиэстер</t>
        </is>
      </c>
      <c r="J742"/>
      <c r="K742" t="inlineStr">
        <is>
          <t xml:space="preserve">Бангладеш</t>
        </is>
      </c>
      <c r="L742" t="inlineStr">
        <is>
          <t xml:space="preserve">6211110000</t>
        </is>
      </c>
      <c r="M742" t="inlineStr">
        <is>
          <t xml:space="preserve">Декларация № ЕАЭС № BY/112 11.01. ТР017 122.01 08246, до 19.04.2028</t>
        </is>
      </c>
      <c r="N742" t="inlineStr">
        <is>
          <t xml:space="preserve">27 × 25 × 1</t>
        </is>
      </c>
      <c r="O742" t="inlineStr">
        <is>
          <t xml:space="preserve">0,2</t>
        </is>
      </c>
      <c r="P742" t="inlineStr">
        <is>
          <t xml:space="preserve">2038096203874</t>
        </is>
      </c>
      <c r="Q742" s="3" t="str">
        <f>HYPERLINK("https://modify.by/img/215457021/1.webp","фото")</f>
        <v>фото</v>
      </c>
      <c r="R742" s="3" t="str">
        <f>HYPERLINK("https://modify.by/catalog/plavki/215457021/?utm_source=price&amp;utm_medium=xlsx","открыть")</f>
        <v>открыть</v>
      </c>
    </row>
    <row r="743">
      <c r="A743" t="inlineStr">
        <is>
          <t xml:space="preserve">Мужской</t>
        </is>
      </c>
      <c r="B743" t="inlineStr">
        <is>
          <t xml:space="preserve">Плавки</t>
        </is>
      </c>
      <c r="C743" t="inlineStr">
        <is>
          <t xml:space="preserve">Шорты для плавания летние пляжные с сеткой, зеленый, арт. BS32M03молочный,зеленый,желтый</t>
        </is>
      </c>
      <c r="D743" t="inlineStr">
        <is>
          <t xml:space="preserve">BS32M03молочный,зеленый,желтый</t>
        </is>
      </c>
      <c r="E743" t="inlineStr">
        <is>
          <t xml:space="preserve">молочный, зеленый, желтый, синий, ярко-розовый</t>
        </is>
      </c>
      <c r="F743" t="inlineStr">
        <is>
          <t xml:space="preserve">48</t>
        </is>
      </c>
      <c r="G743">
        <v>6</v>
      </c>
      <c r="H743" s="2">
        <v>19.0</v>
      </c>
      <c r="I743" t="inlineStr">
        <is>
          <t xml:space="preserve">100% полиэстер</t>
        </is>
      </c>
      <c r="J743"/>
      <c r="K743" t="inlineStr">
        <is>
          <t xml:space="preserve">Бангладеш</t>
        </is>
      </c>
      <c r="L743" t="inlineStr">
        <is>
          <t xml:space="preserve">6211110000</t>
        </is>
      </c>
      <c r="M743" t="inlineStr">
        <is>
          <t xml:space="preserve">Декларация № ЕАЭС № BY/112 11.01. ТР017 122.01 08246, до 19.04.2028</t>
        </is>
      </c>
      <c r="N743" t="inlineStr">
        <is>
          <t xml:space="preserve">27 × 25 × 1</t>
        </is>
      </c>
      <c r="O743" t="inlineStr">
        <is>
          <t xml:space="preserve">0,2</t>
        </is>
      </c>
      <c r="P743" t="inlineStr">
        <is>
          <t xml:space="preserve">4816148131751</t>
        </is>
      </c>
      <c r="Q743" s="3" t="str">
        <f>HYPERLINK("https://modify.by/img/215457021/1.webp","фото")</f>
        <v>фото</v>
      </c>
      <c r="R743" s="3" t="str">
        <f>HYPERLINK("https://modify.by/catalog/plavki/215457021/?utm_source=price&amp;utm_medium=xlsx","открыть")</f>
        <v>открыть</v>
      </c>
    </row>
    <row r="744">
      <c r="A744" t="inlineStr">
        <is>
          <t xml:space="preserve">Мужской</t>
        </is>
      </c>
      <c r="B744" t="inlineStr">
        <is>
          <t xml:space="preserve">Плавки</t>
        </is>
      </c>
      <c r="C744" t="inlineStr">
        <is>
          <t xml:space="preserve">Шорты для плавания летние пляжные с сеткой, зеленый, арт. BS32M03розовый,зеленый</t>
        </is>
      </c>
      <c r="D744" t="inlineStr">
        <is>
          <t xml:space="preserve">BS32M03розовый,зеленый</t>
        </is>
      </c>
      <c r="E744" t="inlineStr">
        <is>
          <t xml:space="preserve">розовый, зеленый</t>
        </is>
      </c>
      <c r="F744" t="inlineStr">
        <is>
          <t xml:space="preserve">46</t>
        </is>
      </c>
      <c r="G744">
        <v>9</v>
      </c>
      <c r="H744" s="2">
        <v>19.0</v>
      </c>
      <c r="I744" t="inlineStr">
        <is>
          <t xml:space="preserve">100% полиэстер</t>
        </is>
      </c>
      <c r="J744"/>
      <c r="K744" t="inlineStr">
        <is>
          <t xml:space="preserve">Бангладеш</t>
        </is>
      </c>
      <c r="L744" t="inlineStr">
        <is>
          <t xml:space="preserve">6211110000</t>
        </is>
      </c>
      <c r="M744" t="inlineStr">
        <is>
          <t xml:space="preserve">Декларация № ЕАЭС № BY/112 11.01. ТР017 122.01 08246, до 19.04.2028</t>
        </is>
      </c>
      <c r="N744" t="inlineStr">
        <is>
          <t xml:space="preserve">27 × 25 × 1</t>
        </is>
      </c>
      <c r="O744" t="inlineStr">
        <is>
          <t xml:space="preserve">0,2</t>
        </is>
      </c>
      <c r="P744" t="inlineStr">
        <is>
          <t xml:space="preserve">2038096203614</t>
        </is>
      </c>
      <c r="Q744" s="3" t="str">
        <f>HYPERLINK("https://modify.by/img/215457015/1.webp","фото")</f>
        <v>фото</v>
      </c>
      <c r="R744" s="3" t="str">
        <f>HYPERLINK("https://modify.by/catalog/plavki/215457015/?utm_source=price&amp;utm_medium=xlsx","открыть")</f>
        <v>открыть</v>
      </c>
    </row>
    <row r="745">
      <c r="A745" t="inlineStr">
        <is>
          <t xml:space="preserve">Мужской</t>
        </is>
      </c>
      <c r="B745" t="inlineStr">
        <is>
          <t xml:space="preserve">Плавки</t>
        </is>
      </c>
      <c r="C745" t="inlineStr">
        <is>
          <t xml:space="preserve">Шорты для плавания летние пляжные с сеткой, зеленый, арт. BS32M03розовый,зеленый</t>
        </is>
      </c>
      <c r="D745" t="inlineStr">
        <is>
          <t xml:space="preserve">BS32M03розовый,зеленый</t>
        </is>
      </c>
      <c r="E745" t="inlineStr">
        <is>
          <t xml:space="preserve">розовый, зеленый</t>
        </is>
      </c>
      <c r="F745" t="inlineStr">
        <is>
          <t xml:space="preserve">46</t>
        </is>
      </c>
      <c r="G745">
        <v>9</v>
      </c>
      <c r="H745" s="2">
        <v>19.0</v>
      </c>
      <c r="I745" t="inlineStr">
        <is>
          <t xml:space="preserve">100% полиэстер</t>
        </is>
      </c>
      <c r="J745"/>
      <c r="K745" t="inlineStr">
        <is>
          <t xml:space="preserve">Бангладеш</t>
        </is>
      </c>
      <c r="L745" t="inlineStr">
        <is>
          <t xml:space="preserve">6211110000</t>
        </is>
      </c>
      <c r="M745" t="inlineStr">
        <is>
          <t xml:space="preserve">Декларация № ЕАЭС № BY/112 11.01. ТР017 122.01 08246, до 19.04.2028</t>
        </is>
      </c>
      <c r="N745" t="inlineStr">
        <is>
          <t xml:space="preserve">27 × 25 × 1</t>
        </is>
      </c>
      <c r="O745" t="inlineStr">
        <is>
          <t xml:space="preserve">0,2</t>
        </is>
      </c>
      <c r="P745" t="inlineStr">
        <is>
          <t xml:space="preserve">4816148131492</t>
        </is>
      </c>
      <c r="Q745" s="3" t="str">
        <f>HYPERLINK("https://modify.by/img/215457015/1.webp","фото")</f>
        <v>фото</v>
      </c>
      <c r="R745" s="3" t="str">
        <f>HYPERLINK("https://modify.by/catalog/plavki/215457015/?utm_source=price&amp;utm_medium=xlsx","открыть")</f>
        <v>открыть</v>
      </c>
    </row>
    <row r="746">
      <c r="A746" t="inlineStr">
        <is>
          <t xml:space="preserve">Мужской</t>
        </is>
      </c>
      <c r="B746" t="inlineStr">
        <is>
          <t xml:space="preserve">Плавки</t>
        </is>
      </c>
      <c r="C746" t="inlineStr">
        <is>
          <t xml:space="preserve">Шорты для плавания летние пляжные с сеткой, красный, арт. BS32M03белый,красный</t>
        </is>
      </c>
      <c r="D746" t="inlineStr">
        <is>
          <t xml:space="preserve">BS32M03белый,красный</t>
        </is>
      </c>
      <c r="E746" t="inlineStr">
        <is>
          <t xml:space="preserve">белый, красный</t>
        </is>
      </c>
      <c r="F746" t="inlineStr">
        <is>
          <t xml:space="preserve">42</t>
        </is>
      </c>
      <c r="G746">
        <v>32</v>
      </c>
      <c r="H746" s="2">
        <v>19.0</v>
      </c>
      <c r="I746" t="inlineStr">
        <is>
          <t xml:space="preserve">100% полиэстер</t>
        </is>
      </c>
      <c r="J746"/>
      <c r="K746" t="inlineStr">
        <is>
          <t xml:space="preserve">Бангладеш</t>
        </is>
      </c>
      <c r="L746" t="inlineStr">
        <is>
          <t xml:space="preserve">6211110000</t>
        </is>
      </c>
      <c r="M746" t="inlineStr">
        <is>
          <t xml:space="preserve">Декларация № ЕАЭС № BY/112 11.01. ТР017 122.01 08246, до 19.04.2028</t>
        </is>
      </c>
      <c r="N746" t="inlineStr">
        <is>
          <t xml:space="preserve">27 × 25 × 1</t>
        </is>
      </c>
      <c r="O746" t="inlineStr">
        <is>
          <t xml:space="preserve">0,2</t>
        </is>
      </c>
      <c r="P746" t="inlineStr">
        <is>
          <t xml:space="preserve">2038096203393</t>
        </is>
      </c>
      <c r="Q746" s="3" t="str">
        <f>HYPERLINK("https://modify.by/img/215457009/1.webp","фото")</f>
        <v>фото</v>
      </c>
      <c r="R746" s="3" t="str">
        <f>HYPERLINK("https://modify.by/catalog/plavki/215457009/?utm_source=price&amp;utm_medium=xlsx","открыть")</f>
        <v>открыть</v>
      </c>
    </row>
    <row r="747">
      <c r="A747" t="inlineStr">
        <is>
          <t xml:space="preserve">Мужской</t>
        </is>
      </c>
      <c r="B747" t="inlineStr">
        <is>
          <t xml:space="preserve">Плавки</t>
        </is>
      </c>
      <c r="C747" t="inlineStr">
        <is>
          <t xml:space="preserve">Шорты для плавания летние пляжные с сеткой, красный, арт. BS32M03белый,красный</t>
        </is>
      </c>
      <c r="D747" t="inlineStr">
        <is>
          <t xml:space="preserve">BS32M03белый,красный</t>
        </is>
      </c>
      <c r="E747" t="inlineStr">
        <is>
          <t xml:space="preserve">белый, красный</t>
        </is>
      </c>
      <c r="F747" t="inlineStr">
        <is>
          <t xml:space="preserve">42</t>
        </is>
      </c>
      <c r="G747">
        <v>32</v>
      </c>
      <c r="H747" s="2">
        <v>19.0</v>
      </c>
      <c r="I747" t="inlineStr">
        <is>
          <t xml:space="preserve">100% полиэстер</t>
        </is>
      </c>
      <c r="J747"/>
      <c r="K747" t="inlineStr">
        <is>
          <t xml:space="preserve">Бангладеш</t>
        </is>
      </c>
      <c r="L747" t="inlineStr">
        <is>
          <t xml:space="preserve">6211110000</t>
        </is>
      </c>
      <c r="M747" t="inlineStr">
        <is>
          <t xml:space="preserve">Декларация № ЕАЭС № BY/112 11.01. ТР017 122.01 08246, до 19.04.2028</t>
        </is>
      </c>
      <c r="N747" t="inlineStr">
        <is>
          <t xml:space="preserve">27 × 25 × 1</t>
        </is>
      </c>
      <c r="O747" t="inlineStr">
        <is>
          <t xml:space="preserve">0,2</t>
        </is>
      </c>
      <c r="P747" t="inlineStr">
        <is>
          <t xml:space="preserve">4816148131270</t>
        </is>
      </c>
      <c r="Q747" s="3" t="str">
        <f>HYPERLINK("https://modify.by/img/215457009/1.webp","фото")</f>
        <v>фото</v>
      </c>
      <c r="R747" s="3" t="str">
        <f>HYPERLINK("https://modify.by/catalog/plavki/215457009/?utm_source=price&amp;utm_medium=xlsx","открыть")</f>
        <v>открыть</v>
      </c>
    </row>
    <row r="748">
      <c r="A748" t="inlineStr">
        <is>
          <t xml:space="preserve">Мужской</t>
        </is>
      </c>
      <c r="B748" t="inlineStr">
        <is>
          <t xml:space="preserve">Плавки</t>
        </is>
      </c>
      <c r="C748" t="inlineStr">
        <is>
          <t xml:space="preserve">Шорты для плавания летние пляжные с сеткой, красный, арт. BS32M03белый,красный</t>
        </is>
      </c>
      <c r="D748" t="inlineStr">
        <is>
          <t xml:space="preserve">BS32M03белый,красный</t>
        </is>
      </c>
      <c r="E748" t="inlineStr">
        <is>
          <t xml:space="preserve">белый, красный</t>
        </is>
      </c>
      <c r="F748" t="inlineStr">
        <is>
          <t xml:space="preserve">44</t>
        </is>
      </c>
      <c r="G748">
        <v>11</v>
      </c>
      <c r="H748" s="2">
        <v>19.0</v>
      </c>
      <c r="I748" t="inlineStr">
        <is>
          <t xml:space="preserve">100% полиэстер</t>
        </is>
      </c>
      <c r="J748"/>
      <c r="K748" t="inlineStr">
        <is>
          <t xml:space="preserve">Бангладеш</t>
        </is>
      </c>
      <c r="L748" t="inlineStr">
        <is>
          <t xml:space="preserve">6211110000</t>
        </is>
      </c>
      <c r="M748" t="inlineStr">
        <is>
          <t xml:space="preserve">Декларация № ЕАЭС № BY/112 11.01. ТР017 122.01 08246, до 19.04.2028</t>
        </is>
      </c>
      <c r="N748" t="inlineStr">
        <is>
          <t xml:space="preserve">27 × 25 × 1</t>
        </is>
      </c>
      <c r="O748" t="inlineStr">
        <is>
          <t xml:space="preserve">0,2</t>
        </is>
      </c>
      <c r="P748" t="inlineStr">
        <is>
          <t xml:space="preserve">2038096203409</t>
        </is>
      </c>
      <c r="Q748" s="3" t="str">
        <f>HYPERLINK("https://modify.by/img/215457009/1.webp","фото")</f>
        <v>фото</v>
      </c>
      <c r="R748" s="3" t="str">
        <f>HYPERLINK("https://modify.by/catalog/plavki/215457009/?utm_source=price&amp;utm_medium=xlsx","открыть")</f>
        <v>открыть</v>
      </c>
    </row>
    <row r="749">
      <c r="A749" t="inlineStr">
        <is>
          <t xml:space="preserve">Мужской</t>
        </is>
      </c>
      <c r="B749" t="inlineStr">
        <is>
          <t xml:space="preserve">Плавки</t>
        </is>
      </c>
      <c r="C749" t="inlineStr">
        <is>
          <t xml:space="preserve">Шорты для плавания летние пляжные с сеткой, красный, арт. BS32M03белый,красный</t>
        </is>
      </c>
      <c r="D749" t="inlineStr">
        <is>
          <t xml:space="preserve">BS32M03белый,красный</t>
        </is>
      </c>
      <c r="E749" t="inlineStr">
        <is>
          <t xml:space="preserve">белый, красный</t>
        </is>
      </c>
      <c r="F749" t="inlineStr">
        <is>
          <t xml:space="preserve">44</t>
        </is>
      </c>
      <c r="G749">
        <v>11</v>
      </c>
      <c r="H749" s="2">
        <v>19.0</v>
      </c>
      <c r="I749" t="inlineStr">
        <is>
          <t xml:space="preserve">100% полиэстер</t>
        </is>
      </c>
      <c r="J749"/>
      <c r="K749" t="inlineStr">
        <is>
          <t xml:space="preserve">Бангладеш</t>
        </is>
      </c>
      <c r="L749" t="inlineStr">
        <is>
          <t xml:space="preserve">6211110000</t>
        </is>
      </c>
      <c r="M749" t="inlineStr">
        <is>
          <t xml:space="preserve">Декларация № ЕАЭС № BY/112 11.01. ТР017 122.01 08246, до 19.04.2028</t>
        </is>
      </c>
      <c r="N749" t="inlineStr">
        <is>
          <t xml:space="preserve">27 × 25 × 1</t>
        </is>
      </c>
      <c r="O749" t="inlineStr">
        <is>
          <t xml:space="preserve">0,2</t>
        </is>
      </c>
      <c r="P749" t="inlineStr">
        <is>
          <t xml:space="preserve">4816148131287</t>
        </is>
      </c>
      <c r="Q749" s="3" t="str">
        <f>HYPERLINK("https://modify.by/img/215457009/1.webp","фото")</f>
        <v>фото</v>
      </c>
      <c r="R749" s="3" t="str">
        <f>HYPERLINK("https://modify.by/catalog/plavki/215457009/?utm_source=price&amp;utm_medium=xlsx","открыть")</f>
        <v>открыть</v>
      </c>
    </row>
    <row r="750">
      <c r="A750" t="inlineStr">
        <is>
          <t xml:space="preserve">Мужской</t>
        </is>
      </c>
      <c r="B750" t="inlineStr">
        <is>
          <t xml:space="preserve">Плавки</t>
        </is>
      </c>
      <c r="C750" t="inlineStr">
        <is>
          <t xml:space="preserve">Шорты для плавания летние пляжные с сеткой, красный, арт. BS32M03белый,красный</t>
        </is>
      </c>
      <c r="D750" t="inlineStr">
        <is>
          <t xml:space="preserve">BS32M03белый,красный</t>
        </is>
      </c>
      <c r="E750" t="inlineStr">
        <is>
          <t xml:space="preserve">белый, красный</t>
        </is>
      </c>
      <c r="F750" t="inlineStr">
        <is>
          <t xml:space="preserve">46</t>
        </is>
      </c>
      <c r="G750">
        <v>9</v>
      </c>
      <c r="H750" s="2">
        <v>19.0</v>
      </c>
      <c r="I750" t="inlineStr">
        <is>
          <t xml:space="preserve">100% полиэстер</t>
        </is>
      </c>
      <c r="J750"/>
      <c r="K750" t="inlineStr">
        <is>
          <t xml:space="preserve">Бангладеш</t>
        </is>
      </c>
      <c r="L750" t="inlineStr">
        <is>
          <t xml:space="preserve">6211110000</t>
        </is>
      </c>
      <c r="M750" t="inlineStr">
        <is>
          <t xml:space="preserve">Декларация № ЕАЭС № BY/112 11.01. ТР017 122.01 08246, до 19.04.2028</t>
        </is>
      </c>
      <c r="N750" t="inlineStr">
        <is>
          <t xml:space="preserve">27 × 25 × 1</t>
        </is>
      </c>
      <c r="O750" t="inlineStr">
        <is>
          <t xml:space="preserve">0,2</t>
        </is>
      </c>
      <c r="P750" t="inlineStr">
        <is>
          <t xml:space="preserve">2038096203416</t>
        </is>
      </c>
      <c r="Q750" s="3" t="str">
        <f>HYPERLINK("https://modify.by/img/215457009/1.webp","фото")</f>
        <v>фото</v>
      </c>
      <c r="R750" s="3" t="str">
        <f>HYPERLINK("https://modify.by/catalog/plavki/215457009/?utm_source=price&amp;utm_medium=xlsx","открыть")</f>
        <v>открыть</v>
      </c>
    </row>
    <row r="751">
      <c r="A751" t="inlineStr">
        <is>
          <t xml:space="preserve">Мужской</t>
        </is>
      </c>
      <c r="B751" t="inlineStr">
        <is>
          <t xml:space="preserve">Плавки</t>
        </is>
      </c>
      <c r="C751" t="inlineStr">
        <is>
          <t xml:space="preserve">Шорты для плавания летние пляжные с сеткой, красный, арт. BS32M03белый,красный</t>
        </is>
      </c>
      <c r="D751" t="inlineStr">
        <is>
          <t xml:space="preserve">BS32M03белый,красный</t>
        </is>
      </c>
      <c r="E751" t="inlineStr">
        <is>
          <t xml:space="preserve">белый, красный</t>
        </is>
      </c>
      <c r="F751" t="inlineStr">
        <is>
          <t xml:space="preserve">46</t>
        </is>
      </c>
      <c r="G751">
        <v>9</v>
      </c>
      <c r="H751" s="2">
        <v>19.0</v>
      </c>
      <c r="I751" t="inlineStr">
        <is>
          <t xml:space="preserve">100% полиэстер</t>
        </is>
      </c>
      <c r="J751"/>
      <c r="K751" t="inlineStr">
        <is>
          <t xml:space="preserve">Бангладеш</t>
        </is>
      </c>
      <c r="L751" t="inlineStr">
        <is>
          <t xml:space="preserve">6211110000</t>
        </is>
      </c>
      <c r="M751" t="inlineStr">
        <is>
          <t xml:space="preserve">Декларация № ЕАЭС № BY/112 11.01. ТР017 122.01 08246, до 19.04.2028</t>
        </is>
      </c>
      <c r="N751" t="inlineStr">
        <is>
          <t xml:space="preserve">27 × 25 × 1</t>
        </is>
      </c>
      <c r="O751" t="inlineStr">
        <is>
          <t xml:space="preserve">0,2</t>
        </is>
      </c>
      <c r="P751" t="inlineStr">
        <is>
          <t xml:space="preserve">4816148131294</t>
        </is>
      </c>
      <c r="Q751" s="3" t="str">
        <f>HYPERLINK("https://modify.by/img/215457009/1.webp","фото")</f>
        <v>фото</v>
      </c>
      <c r="R751" s="3" t="str">
        <f>HYPERLINK("https://modify.by/catalog/plavki/215457009/?utm_source=price&amp;utm_medium=xlsx","открыть")</f>
        <v>открыть</v>
      </c>
    </row>
    <row r="752">
      <c r="A752" t="inlineStr">
        <is>
          <t xml:space="preserve">Мужской</t>
        </is>
      </c>
      <c r="B752" t="inlineStr">
        <is>
          <t xml:space="preserve">Плавки</t>
        </is>
      </c>
      <c r="C752" t="inlineStr">
        <is>
          <t xml:space="preserve">Шорты для плавания летние пляжные с сеткой, красный, арт. BS32M03белый,красный</t>
        </is>
      </c>
      <c r="D752" t="inlineStr">
        <is>
          <t xml:space="preserve">BS32M03белый,красный</t>
        </is>
      </c>
      <c r="E752" t="inlineStr">
        <is>
          <t xml:space="preserve">белый, красный</t>
        </is>
      </c>
      <c r="F752" t="inlineStr">
        <is>
          <t xml:space="preserve">48</t>
        </is>
      </c>
      <c r="G752">
        <v>6</v>
      </c>
      <c r="H752" s="2">
        <v>19.0</v>
      </c>
      <c r="I752" t="inlineStr">
        <is>
          <t xml:space="preserve">100% полиэстер</t>
        </is>
      </c>
      <c r="J752"/>
      <c r="K752" t="inlineStr">
        <is>
          <t xml:space="preserve">Бангладеш</t>
        </is>
      </c>
      <c r="L752" t="inlineStr">
        <is>
          <t xml:space="preserve">6211110000</t>
        </is>
      </c>
      <c r="M752" t="inlineStr">
        <is>
          <t xml:space="preserve">Декларация № ЕАЭС № BY/112 11.01. ТР017 122.01 08246, до 19.04.2028</t>
        </is>
      </c>
      <c r="N752" t="inlineStr">
        <is>
          <t xml:space="preserve">27 × 25 × 1</t>
        </is>
      </c>
      <c r="O752" t="inlineStr">
        <is>
          <t xml:space="preserve">0,2</t>
        </is>
      </c>
      <c r="P752" t="inlineStr">
        <is>
          <t xml:space="preserve">2038096203423</t>
        </is>
      </c>
      <c r="Q752" s="3" t="str">
        <f>HYPERLINK("https://modify.by/img/215457009/1.webp","фото")</f>
        <v>фото</v>
      </c>
      <c r="R752" s="3" t="str">
        <f>HYPERLINK("https://modify.by/catalog/plavki/215457009/?utm_source=price&amp;utm_medium=xlsx","открыть")</f>
        <v>открыть</v>
      </c>
    </row>
    <row r="753">
      <c r="A753" t="inlineStr">
        <is>
          <t xml:space="preserve">Мужской</t>
        </is>
      </c>
      <c r="B753" t="inlineStr">
        <is>
          <t xml:space="preserve">Плавки</t>
        </is>
      </c>
      <c r="C753" t="inlineStr">
        <is>
          <t xml:space="preserve">Шорты для плавания летние пляжные с сеткой, красный, арт. BS32M03белый,красный</t>
        </is>
      </c>
      <c r="D753" t="inlineStr">
        <is>
          <t xml:space="preserve">BS32M03белый,красный</t>
        </is>
      </c>
      <c r="E753" t="inlineStr">
        <is>
          <t xml:space="preserve">белый, красный</t>
        </is>
      </c>
      <c r="F753" t="inlineStr">
        <is>
          <t xml:space="preserve">48</t>
        </is>
      </c>
      <c r="G753">
        <v>6</v>
      </c>
      <c r="H753" s="2">
        <v>19.0</v>
      </c>
      <c r="I753" t="inlineStr">
        <is>
          <t xml:space="preserve">100% полиэстер</t>
        </is>
      </c>
      <c r="J753"/>
      <c r="K753" t="inlineStr">
        <is>
          <t xml:space="preserve">Бангладеш</t>
        </is>
      </c>
      <c r="L753" t="inlineStr">
        <is>
          <t xml:space="preserve">6211110000</t>
        </is>
      </c>
      <c r="M753" t="inlineStr">
        <is>
          <t xml:space="preserve">Декларация № ЕАЭС № BY/112 11.01. ТР017 122.01 08246, до 19.04.2028</t>
        </is>
      </c>
      <c r="N753" t="inlineStr">
        <is>
          <t xml:space="preserve">27 × 25 × 1</t>
        </is>
      </c>
      <c r="O753" t="inlineStr">
        <is>
          <t xml:space="preserve">0,2</t>
        </is>
      </c>
      <c r="P753" t="inlineStr">
        <is>
          <t xml:space="preserve">4816148131300</t>
        </is>
      </c>
      <c r="Q753" s="3" t="str">
        <f>HYPERLINK("https://modify.by/img/215457009/1.webp","фото")</f>
        <v>фото</v>
      </c>
      <c r="R753" s="3" t="str">
        <f>HYPERLINK("https://modify.by/catalog/plavki/215457009/?utm_source=price&amp;utm_medium=xlsx","открыть")</f>
        <v>открыть</v>
      </c>
    </row>
    <row r="754">
      <c r="A754" t="inlineStr">
        <is>
          <t xml:space="preserve">Мужской</t>
        </is>
      </c>
      <c r="B754" t="inlineStr">
        <is>
          <t xml:space="preserve">Плавки</t>
        </is>
      </c>
      <c r="C754" t="inlineStr">
        <is>
          <t xml:space="preserve">Шорты для плавания летние пляжные с сеткой, красный, арт. BS32M03синий,белый,красный</t>
        </is>
      </c>
      <c r="D754" t="inlineStr">
        <is>
          <t xml:space="preserve">BS32M03синий,белый,красный</t>
        </is>
      </c>
      <c r="E754" t="inlineStr">
        <is>
          <t xml:space="preserve">синий, белый, красный</t>
        </is>
      </c>
      <c r="F754" t="inlineStr">
        <is>
          <t xml:space="preserve">42</t>
        </is>
      </c>
      <c r="G754">
        <v>16</v>
      </c>
      <c r="H754" s="2">
        <v>19.0</v>
      </c>
      <c r="I754" t="inlineStr">
        <is>
          <t xml:space="preserve">100% полиэстер</t>
        </is>
      </c>
      <c r="J754"/>
      <c r="K754" t="inlineStr">
        <is>
          <t xml:space="preserve">Бангладеш</t>
        </is>
      </c>
      <c r="L754" t="inlineStr">
        <is>
          <t xml:space="preserve">6211110000</t>
        </is>
      </c>
      <c r="M754" t="inlineStr">
        <is>
          <t xml:space="preserve">Декларация № ЕАЭС № BY/112 11.01. ТР017 122.01 08246, до 19.04.2028</t>
        </is>
      </c>
      <c r="N754" t="inlineStr">
        <is>
          <t xml:space="preserve">30 × 31 × 1</t>
        </is>
      </c>
      <c r="O754" t="inlineStr">
        <is>
          <t xml:space="preserve">0,2</t>
        </is>
      </c>
      <c r="P754" t="inlineStr">
        <is>
          <t xml:space="preserve">2038096203744</t>
        </is>
      </c>
      <c r="Q754" s="3" t="str">
        <f>HYPERLINK("https://modify.by/img/215457006/1.webp","фото")</f>
        <v>фото</v>
      </c>
      <c r="R754" s="3" t="str">
        <f>HYPERLINK("https://modify.by/catalog/plavki/215457006/?utm_source=price&amp;utm_medium=xlsx","открыть")</f>
        <v>открыть</v>
      </c>
    </row>
    <row r="755">
      <c r="A755" t="inlineStr">
        <is>
          <t xml:space="preserve">Мужской</t>
        </is>
      </c>
      <c r="B755" t="inlineStr">
        <is>
          <t xml:space="preserve">Плавки</t>
        </is>
      </c>
      <c r="C755" t="inlineStr">
        <is>
          <t xml:space="preserve">Шорты для плавания летние пляжные с сеткой, красный, арт. BS32M03синий,белый,красный</t>
        </is>
      </c>
      <c r="D755" t="inlineStr">
        <is>
          <t xml:space="preserve">BS32M03синий,белый,красный</t>
        </is>
      </c>
      <c r="E755" t="inlineStr">
        <is>
          <t xml:space="preserve">синий, белый, красный</t>
        </is>
      </c>
      <c r="F755" t="inlineStr">
        <is>
          <t xml:space="preserve">42</t>
        </is>
      </c>
      <c r="G755">
        <v>16</v>
      </c>
      <c r="H755" s="2">
        <v>19.0</v>
      </c>
      <c r="I755" t="inlineStr">
        <is>
          <t xml:space="preserve">100% полиэстер</t>
        </is>
      </c>
      <c r="J755"/>
      <c r="K755" t="inlineStr">
        <is>
          <t xml:space="preserve">Бангладеш</t>
        </is>
      </c>
      <c r="L755" t="inlineStr">
        <is>
          <t xml:space="preserve">6211110000</t>
        </is>
      </c>
      <c r="M755" t="inlineStr">
        <is>
          <t xml:space="preserve">Декларация № ЕАЭС № BY/112 11.01. ТР017 122.01 08246, до 19.04.2028</t>
        </is>
      </c>
      <c r="N755" t="inlineStr">
        <is>
          <t xml:space="preserve">30 × 31 × 1</t>
        </is>
      </c>
      <c r="O755" t="inlineStr">
        <is>
          <t xml:space="preserve">0,2</t>
        </is>
      </c>
      <c r="P755" t="inlineStr">
        <is>
          <t xml:space="preserve">4816148131621</t>
        </is>
      </c>
      <c r="Q755" s="3" t="str">
        <f>HYPERLINK("https://modify.by/img/215457006/1.webp","фото")</f>
        <v>фото</v>
      </c>
      <c r="R755" s="3" t="str">
        <f>HYPERLINK("https://modify.by/catalog/plavki/215457006/?utm_source=price&amp;utm_medium=xlsx","открыть")</f>
        <v>открыть</v>
      </c>
    </row>
    <row r="756">
      <c r="A756" t="inlineStr">
        <is>
          <t xml:space="preserve">Мужской</t>
        </is>
      </c>
      <c r="B756" t="inlineStr">
        <is>
          <t xml:space="preserve">Плавки</t>
        </is>
      </c>
      <c r="C756" t="inlineStr">
        <is>
          <t xml:space="preserve">Шорты для плавания летние пляжные с сеткой, красный, арт. BS32M03синий,белый,красный</t>
        </is>
      </c>
      <c r="D756" t="inlineStr">
        <is>
          <t xml:space="preserve">BS32M03синий,белый,красный</t>
        </is>
      </c>
      <c r="E756" t="inlineStr">
        <is>
          <t xml:space="preserve">синий, белый, красный</t>
        </is>
      </c>
      <c r="F756" t="inlineStr">
        <is>
          <t xml:space="preserve">46</t>
        </is>
      </c>
      <c r="G756">
        <v>14</v>
      </c>
      <c r="H756" s="2">
        <v>19.0</v>
      </c>
      <c r="I756" t="inlineStr">
        <is>
          <t xml:space="preserve">100% полиэстер</t>
        </is>
      </c>
      <c r="J756"/>
      <c r="K756" t="inlineStr">
        <is>
          <t xml:space="preserve">Бангладеш</t>
        </is>
      </c>
      <c r="L756" t="inlineStr">
        <is>
          <t xml:space="preserve">6211110000</t>
        </is>
      </c>
      <c r="M756" t="inlineStr">
        <is>
          <t xml:space="preserve">Декларация № ЕАЭС № BY/112 11.01. ТР017 122.01 08246, до 19.04.2028</t>
        </is>
      </c>
      <c r="N756" t="inlineStr">
        <is>
          <t xml:space="preserve">30 × 31 × 1</t>
        </is>
      </c>
      <c r="O756" t="inlineStr">
        <is>
          <t xml:space="preserve">0,2</t>
        </is>
      </c>
      <c r="P756" t="inlineStr">
        <is>
          <t xml:space="preserve">2038096203768</t>
        </is>
      </c>
      <c r="Q756" s="3" t="str">
        <f>HYPERLINK("https://modify.by/img/215457006/1.webp","фото")</f>
        <v>фото</v>
      </c>
      <c r="R756" s="3" t="str">
        <f>HYPERLINK("https://modify.by/catalog/plavki/215457006/?utm_source=price&amp;utm_medium=xlsx","открыть")</f>
        <v>открыть</v>
      </c>
    </row>
    <row r="757">
      <c r="A757" t="inlineStr">
        <is>
          <t xml:space="preserve">Мужской</t>
        </is>
      </c>
      <c r="B757" t="inlineStr">
        <is>
          <t xml:space="preserve">Плавки</t>
        </is>
      </c>
      <c r="C757" t="inlineStr">
        <is>
          <t xml:space="preserve">Шорты для плавания летние пляжные с сеткой, красный, арт. BS32M03синий,белый,красный</t>
        </is>
      </c>
      <c r="D757" t="inlineStr">
        <is>
          <t xml:space="preserve">BS32M03синий,белый,красный</t>
        </is>
      </c>
      <c r="E757" t="inlineStr">
        <is>
          <t xml:space="preserve">синий, белый, красный</t>
        </is>
      </c>
      <c r="F757" t="inlineStr">
        <is>
          <t xml:space="preserve">46</t>
        </is>
      </c>
      <c r="G757">
        <v>14</v>
      </c>
      <c r="H757" s="2">
        <v>19.0</v>
      </c>
      <c r="I757" t="inlineStr">
        <is>
          <t xml:space="preserve">100% полиэстер</t>
        </is>
      </c>
      <c r="J757"/>
      <c r="K757" t="inlineStr">
        <is>
          <t xml:space="preserve">Бангладеш</t>
        </is>
      </c>
      <c r="L757" t="inlineStr">
        <is>
          <t xml:space="preserve">6211110000</t>
        </is>
      </c>
      <c r="M757" t="inlineStr">
        <is>
          <t xml:space="preserve">Декларация № ЕАЭС № BY/112 11.01. ТР017 122.01 08246, до 19.04.2028</t>
        </is>
      </c>
      <c r="N757" t="inlineStr">
        <is>
          <t xml:space="preserve">30 × 31 × 1</t>
        </is>
      </c>
      <c r="O757" t="inlineStr">
        <is>
          <t xml:space="preserve">0,2</t>
        </is>
      </c>
      <c r="P757" t="inlineStr">
        <is>
          <t xml:space="preserve">4816148131645</t>
        </is>
      </c>
      <c r="Q757" s="3" t="str">
        <f>HYPERLINK("https://modify.by/img/215457006/1.webp","фото")</f>
        <v>фото</v>
      </c>
      <c r="R757" s="3" t="str">
        <f>HYPERLINK("https://modify.by/catalog/plavki/215457006/?utm_source=price&amp;utm_medium=xlsx","открыть")</f>
        <v>открыть</v>
      </c>
    </row>
    <row r="758">
      <c r="A758" t="inlineStr">
        <is>
          <t xml:space="preserve">Мужской</t>
        </is>
      </c>
      <c r="B758" t="inlineStr">
        <is>
          <t xml:space="preserve">Плавки</t>
        </is>
      </c>
      <c r="C758" t="inlineStr">
        <is>
          <t xml:space="preserve">Шорты для плавания летние пляжные с сеткой, красный, арт. BS32M03синий,белый,красный</t>
        </is>
      </c>
      <c r="D758" t="inlineStr">
        <is>
          <t xml:space="preserve">BS32M03синий,белый,красный</t>
        </is>
      </c>
      <c r="E758" t="inlineStr">
        <is>
          <t xml:space="preserve">синий, белый, красный</t>
        </is>
      </c>
      <c r="F758" t="inlineStr">
        <is>
          <t xml:space="preserve">48</t>
        </is>
      </c>
      <c r="G758">
        <v>18</v>
      </c>
      <c r="H758" s="2">
        <v>19.0</v>
      </c>
      <c r="I758" t="inlineStr">
        <is>
          <t xml:space="preserve">100% полиэстер</t>
        </is>
      </c>
      <c r="J758"/>
      <c r="K758" t="inlineStr">
        <is>
          <t xml:space="preserve">Бангладеш</t>
        </is>
      </c>
      <c r="L758" t="inlineStr">
        <is>
          <t xml:space="preserve">6211110000</t>
        </is>
      </c>
      <c r="M758" t="inlineStr">
        <is>
          <t xml:space="preserve">Декларация № ЕАЭС № BY/112 11.01. ТР017 122.01 08246, до 19.04.2028</t>
        </is>
      </c>
      <c r="N758" t="inlineStr">
        <is>
          <t xml:space="preserve">30 × 31 × 1</t>
        </is>
      </c>
      <c r="O758" t="inlineStr">
        <is>
          <t xml:space="preserve">0,2</t>
        </is>
      </c>
      <c r="P758" t="inlineStr">
        <is>
          <t xml:space="preserve">2038096203775</t>
        </is>
      </c>
      <c r="Q758" s="3" t="str">
        <f>HYPERLINK("https://modify.by/img/215457006/1.webp","фото")</f>
        <v>фото</v>
      </c>
      <c r="R758" s="3" t="str">
        <f>HYPERLINK("https://modify.by/catalog/plavki/215457006/?utm_source=price&amp;utm_medium=xlsx","открыть")</f>
        <v>открыть</v>
      </c>
    </row>
    <row r="759">
      <c r="A759" t="inlineStr">
        <is>
          <t xml:space="preserve">Мужской</t>
        </is>
      </c>
      <c r="B759" t="inlineStr">
        <is>
          <t xml:space="preserve">Плавки</t>
        </is>
      </c>
      <c r="C759" t="inlineStr">
        <is>
          <t xml:space="preserve">Шорты для плавания летние пляжные с сеткой, красный, арт. BS32M03синий,белый,красный</t>
        </is>
      </c>
      <c r="D759" t="inlineStr">
        <is>
          <t xml:space="preserve">BS32M03синий,белый,красный</t>
        </is>
      </c>
      <c r="E759" t="inlineStr">
        <is>
          <t xml:space="preserve">синий, белый, красный</t>
        </is>
      </c>
      <c r="F759" t="inlineStr">
        <is>
          <t xml:space="preserve">48</t>
        </is>
      </c>
      <c r="G759">
        <v>18</v>
      </c>
      <c r="H759" s="2">
        <v>19.0</v>
      </c>
      <c r="I759" t="inlineStr">
        <is>
          <t xml:space="preserve">100% полиэстер</t>
        </is>
      </c>
      <c r="J759"/>
      <c r="K759" t="inlineStr">
        <is>
          <t xml:space="preserve">Бангладеш</t>
        </is>
      </c>
      <c r="L759" t="inlineStr">
        <is>
          <t xml:space="preserve">6211110000</t>
        </is>
      </c>
      <c r="M759" t="inlineStr">
        <is>
          <t xml:space="preserve">Декларация № ЕАЭС № BY/112 11.01. ТР017 122.01 08246, до 19.04.2028</t>
        </is>
      </c>
      <c r="N759" t="inlineStr">
        <is>
          <t xml:space="preserve">30 × 31 × 1</t>
        </is>
      </c>
      <c r="O759" t="inlineStr">
        <is>
          <t xml:space="preserve">0,2</t>
        </is>
      </c>
      <c r="P759" t="inlineStr">
        <is>
          <t xml:space="preserve">4816148131652</t>
        </is>
      </c>
      <c r="Q759" s="3" t="str">
        <f>HYPERLINK("https://modify.by/img/215457006/1.webp","фото")</f>
        <v>фото</v>
      </c>
      <c r="R759" s="3" t="str">
        <f>HYPERLINK("https://modify.by/catalog/plavki/215457006/?utm_source=price&amp;utm_medium=xlsx","открыть")</f>
        <v>открыть</v>
      </c>
    </row>
    <row r="760">
      <c r="A760" t="inlineStr">
        <is>
          <t xml:space="preserve">Мужской</t>
        </is>
      </c>
      <c r="B760" t="inlineStr">
        <is>
          <t xml:space="preserve">Плавки</t>
        </is>
      </c>
      <c r="C760" t="inlineStr">
        <is>
          <t xml:space="preserve">Шорты для плавания летние пляжные с сеткой, малиновый</t>
        </is>
      </c>
      <c r="D760" t="inlineStr">
        <is>
          <t xml:space="preserve">BS32M03белый,желтый,малиновый</t>
        </is>
      </c>
      <c r="E760" t="inlineStr">
        <is>
          <t xml:space="preserve">белый, желтый, малиновый</t>
        </is>
      </c>
      <c r="F760" t="inlineStr">
        <is>
          <t xml:space="preserve">40</t>
        </is>
      </c>
      <c r="G760">
        <v>1</v>
      </c>
      <c r="H760" s="2">
        <v>19.0</v>
      </c>
      <c r="I760" t="inlineStr">
        <is>
          <t xml:space="preserve">100% полиэстер</t>
        </is>
      </c>
      <c r="J760"/>
      <c r="K760" t="inlineStr">
        <is>
          <t xml:space="preserve">Бангладеш</t>
        </is>
      </c>
      <c r="L760" t="inlineStr">
        <is>
          <t xml:space="preserve">6211110000</t>
        </is>
      </c>
      <c r="M760" t="inlineStr">
        <is>
          <t xml:space="preserve">Декларация № ЕАЭС № BY/112 11.01. ТР017 122.01 08246, до 19.04.2028</t>
        </is>
      </c>
      <c r="N760" t="inlineStr">
        <is>
          <t xml:space="preserve">27 × 25 × 1</t>
        </is>
      </c>
      <c r="O760" t="inlineStr">
        <is>
          <t xml:space="preserve">0,2</t>
        </is>
      </c>
      <c r="P760" t="inlineStr">
        <is>
          <t xml:space="preserve">2038096204802</t>
        </is>
      </c>
      <c r="Q760" s="3" t="str">
        <f>HYPERLINK("https://modify.by/img/215457032/1.webp","фото")</f>
        <v>фото</v>
      </c>
      <c r="R760" s="3" t="str">
        <f>HYPERLINK("https://modify.by/catalog/plavki/215457032/?utm_source=price&amp;utm_medium=xlsx","открыть")</f>
        <v>открыть</v>
      </c>
    </row>
    <row r="761">
      <c r="A761" t="inlineStr">
        <is>
          <t xml:space="preserve">Мужской</t>
        </is>
      </c>
      <c r="B761" t="inlineStr">
        <is>
          <t xml:space="preserve">Плавки</t>
        </is>
      </c>
      <c r="C761" t="inlineStr">
        <is>
          <t xml:space="preserve">Шорты для плавания летние пляжные с сеткой, малиновый</t>
        </is>
      </c>
      <c r="D761" t="inlineStr">
        <is>
          <t xml:space="preserve">BS32M03белый,желтый,малиновый</t>
        </is>
      </c>
      <c r="E761" t="inlineStr">
        <is>
          <t xml:space="preserve">белый, желтый, малиновый</t>
        </is>
      </c>
      <c r="F761" t="inlineStr">
        <is>
          <t xml:space="preserve">40</t>
        </is>
      </c>
      <c r="G761">
        <v>1</v>
      </c>
      <c r="H761" s="2">
        <v>19.0</v>
      </c>
      <c r="I761" t="inlineStr">
        <is>
          <t xml:space="preserve">100% полиэстер</t>
        </is>
      </c>
      <c r="J761"/>
      <c r="K761" t="inlineStr">
        <is>
          <t xml:space="preserve">Бангладеш</t>
        </is>
      </c>
      <c r="L761" t="inlineStr">
        <is>
          <t xml:space="preserve">6211110000</t>
        </is>
      </c>
      <c r="M761" t="inlineStr">
        <is>
          <t xml:space="preserve">Декларация № ЕАЭС № BY/112 11.01. ТР017 122.01 08246, до 19.04.2028</t>
        </is>
      </c>
      <c r="N761" t="inlineStr">
        <is>
          <t xml:space="preserve">27 × 25 × 1</t>
        </is>
      </c>
      <c r="O761" t="inlineStr">
        <is>
          <t xml:space="preserve">0,2</t>
        </is>
      </c>
      <c r="P761" t="inlineStr">
        <is>
          <t xml:space="preserve">4816148132215</t>
        </is>
      </c>
      <c r="Q761" s="3" t="str">
        <f>HYPERLINK("https://modify.by/img/215457032/1.webp","фото")</f>
        <v>фото</v>
      </c>
      <c r="R761" s="3" t="str">
        <f>HYPERLINK("https://modify.by/catalog/plavki/215457032/?utm_source=price&amp;utm_medium=xlsx","открыть")</f>
        <v>открыть</v>
      </c>
    </row>
    <row r="762">
      <c r="A762" t="inlineStr">
        <is>
          <t xml:space="preserve">Мужской</t>
        </is>
      </c>
      <c r="B762" t="inlineStr">
        <is>
          <t xml:space="preserve">Плавки</t>
        </is>
      </c>
      <c r="C762" t="inlineStr">
        <is>
          <t xml:space="preserve">Шорты для плавания летние пляжные с сеткой, малиновый</t>
        </is>
      </c>
      <c r="D762" t="inlineStr">
        <is>
          <t xml:space="preserve">BS32M03белый,желтый,малиновый</t>
        </is>
      </c>
      <c r="E762" t="inlineStr">
        <is>
          <t xml:space="preserve">белый, желтый, малиновый</t>
        </is>
      </c>
      <c r="F762" t="inlineStr">
        <is>
          <t xml:space="preserve">42</t>
        </is>
      </c>
      <c r="G762">
        <v>9</v>
      </c>
      <c r="H762" s="2">
        <v>19.0</v>
      </c>
      <c r="I762" t="inlineStr">
        <is>
          <t xml:space="preserve">100% полиэстер</t>
        </is>
      </c>
      <c r="J762"/>
      <c r="K762" t="inlineStr">
        <is>
          <t xml:space="preserve">Бангладеш</t>
        </is>
      </c>
      <c r="L762" t="inlineStr">
        <is>
          <t xml:space="preserve">6211110000</t>
        </is>
      </c>
      <c r="M762" t="inlineStr">
        <is>
          <t xml:space="preserve">Декларация № ЕАЭС № BY/112 11.01. ТР017 122.01 08246, до 19.04.2028</t>
        </is>
      </c>
      <c r="N762" t="inlineStr">
        <is>
          <t xml:space="preserve">27 × 25 × 1</t>
        </is>
      </c>
      <c r="O762" t="inlineStr">
        <is>
          <t xml:space="preserve">0,2</t>
        </is>
      </c>
      <c r="P762" t="inlineStr">
        <is>
          <t xml:space="preserve">2038096203690</t>
        </is>
      </c>
      <c r="Q762" s="3" t="str">
        <f>HYPERLINK("https://modify.by/img/215457032/1.webp","фото")</f>
        <v>фото</v>
      </c>
      <c r="R762" s="3" t="str">
        <f>HYPERLINK("https://modify.by/catalog/plavki/215457032/?utm_source=price&amp;utm_medium=xlsx","открыть")</f>
        <v>открыть</v>
      </c>
    </row>
    <row r="763">
      <c r="A763" t="inlineStr">
        <is>
          <t xml:space="preserve">Мужской</t>
        </is>
      </c>
      <c r="B763" t="inlineStr">
        <is>
          <t xml:space="preserve">Плавки</t>
        </is>
      </c>
      <c r="C763" t="inlineStr">
        <is>
          <t xml:space="preserve">Шорты для плавания летние пляжные с сеткой, малиновый</t>
        </is>
      </c>
      <c r="D763" t="inlineStr">
        <is>
          <t xml:space="preserve">BS32M03белый,желтый,малиновый</t>
        </is>
      </c>
      <c r="E763" t="inlineStr">
        <is>
          <t xml:space="preserve">белый, желтый, малиновый</t>
        </is>
      </c>
      <c r="F763" t="inlineStr">
        <is>
          <t xml:space="preserve">42</t>
        </is>
      </c>
      <c r="G763">
        <v>9</v>
      </c>
      <c r="H763" s="2">
        <v>19.0</v>
      </c>
      <c r="I763" t="inlineStr">
        <is>
          <t xml:space="preserve">100% полиэстер</t>
        </is>
      </c>
      <c r="J763"/>
      <c r="K763" t="inlineStr">
        <is>
          <t xml:space="preserve">Бангладеш</t>
        </is>
      </c>
      <c r="L763" t="inlineStr">
        <is>
          <t xml:space="preserve">6211110000</t>
        </is>
      </c>
      <c r="M763" t="inlineStr">
        <is>
          <t xml:space="preserve">Декларация № ЕАЭС № BY/112 11.01. ТР017 122.01 08246, до 19.04.2028</t>
        </is>
      </c>
      <c r="N763" t="inlineStr">
        <is>
          <t xml:space="preserve">27 × 25 × 1</t>
        </is>
      </c>
      <c r="O763" t="inlineStr">
        <is>
          <t xml:space="preserve">0,2</t>
        </is>
      </c>
      <c r="P763" t="inlineStr">
        <is>
          <t xml:space="preserve">4816148131577</t>
        </is>
      </c>
      <c r="Q763" s="3" t="str">
        <f>HYPERLINK("https://modify.by/img/215457032/1.webp","фото")</f>
        <v>фото</v>
      </c>
      <c r="R763" s="3" t="str">
        <f>HYPERLINK("https://modify.by/catalog/plavki/215457032/?utm_source=price&amp;utm_medium=xlsx","открыть")</f>
        <v>открыть</v>
      </c>
    </row>
    <row r="764">
      <c r="A764" t="inlineStr">
        <is>
          <t xml:space="preserve">Мужской</t>
        </is>
      </c>
      <c r="B764" t="inlineStr">
        <is>
          <t xml:space="preserve">Плавки</t>
        </is>
      </c>
      <c r="C764" t="inlineStr">
        <is>
          <t xml:space="preserve">Шорты для плавания летние пляжные с сеткой, малиновый</t>
        </is>
      </c>
      <c r="D764" t="inlineStr">
        <is>
          <t xml:space="preserve">BS32M03белый,желтый,малиновый</t>
        </is>
      </c>
      <c r="E764" t="inlineStr">
        <is>
          <t xml:space="preserve">белый, желтый, малиновый</t>
        </is>
      </c>
      <c r="F764" t="inlineStr">
        <is>
          <t xml:space="preserve">44</t>
        </is>
      </c>
      <c r="G764">
        <v>7</v>
      </c>
      <c r="H764" s="2">
        <v>19.0</v>
      </c>
      <c r="I764" t="inlineStr">
        <is>
          <t xml:space="preserve">100% полиэстер</t>
        </is>
      </c>
      <c r="J764"/>
      <c r="K764" t="inlineStr">
        <is>
          <t xml:space="preserve">Бангладеш</t>
        </is>
      </c>
      <c r="L764" t="inlineStr">
        <is>
          <t xml:space="preserve">6211110000</t>
        </is>
      </c>
      <c r="M764" t="inlineStr">
        <is>
          <t xml:space="preserve">Декларация № ЕАЭС № BY/112 11.01. ТР017 122.01 08246, до 19.04.2028</t>
        </is>
      </c>
      <c r="N764" t="inlineStr">
        <is>
          <t xml:space="preserve">27 × 25 × 1</t>
        </is>
      </c>
      <c r="O764" t="inlineStr">
        <is>
          <t xml:space="preserve">0,2</t>
        </is>
      </c>
      <c r="P764" t="inlineStr">
        <is>
          <t xml:space="preserve">2038096203706</t>
        </is>
      </c>
      <c r="Q764" s="3" t="str">
        <f>HYPERLINK("https://modify.by/img/215457032/1.webp","фото")</f>
        <v>фото</v>
      </c>
      <c r="R764" s="3" t="str">
        <f>HYPERLINK("https://modify.by/catalog/plavki/215457032/?utm_source=price&amp;utm_medium=xlsx","открыть")</f>
        <v>открыть</v>
      </c>
    </row>
    <row r="765">
      <c r="A765" t="inlineStr">
        <is>
          <t xml:space="preserve">Мужской</t>
        </is>
      </c>
      <c r="B765" t="inlineStr">
        <is>
          <t xml:space="preserve">Плавки</t>
        </is>
      </c>
      <c r="C765" t="inlineStr">
        <is>
          <t xml:space="preserve">Шорты для плавания летние пляжные с сеткой, малиновый</t>
        </is>
      </c>
      <c r="D765" t="inlineStr">
        <is>
          <t xml:space="preserve">BS32M03белый,желтый,малиновый</t>
        </is>
      </c>
      <c r="E765" t="inlineStr">
        <is>
          <t xml:space="preserve">белый, желтый, малиновый</t>
        </is>
      </c>
      <c r="F765" t="inlineStr">
        <is>
          <t xml:space="preserve">44</t>
        </is>
      </c>
      <c r="G765">
        <v>7</v>
      </c>
      <c r="H765" s="2">
        <v>19.0</v>
      </c>
      <c r="I765" t="inlineStr">
        <is>
          <t xml:space="preserve">100% полиэстер</t>
        </is>
      </c>
      <c r="J765"/>
      <c r="K765" t="inlineStr">
        <is>
          <t xml:space="preserve">Бангладеш</t>
        </is>
      </c>
      <c r="L765" t="inlineStr">
        <is>
          <t xml:space="preserve">6211110000</t>
        </is>
      </c>
      <c r="M765" t="inlineStr">
        <is>
          <t xml:space="preserve">Декларация № ЕАЭС № BY/112 11.01. ТР017 122.01 08246, до 19.04.2028</t>
        </is>
      </c>
      <c r="N765" t="inlineStr">
        <is>
          <t xml:space="preserve">27 × 25 × 1</t>
        </is>
      </c>
      <c r="O765" t="inlineStr">
        <is>
          <t xml:space="preserve">0,2</t>
        </is>
      </c>
      <c r="P765" t="inlineStr">
        <is>
          <t xml:space="preserve">4816148131584</t>
        </is>
      </c>
      <c r="Q765" s="3" t="str">
        <f>HYPERLINK("https://modify.by/img/215457032/1.webp","фото")</f>
        <v>фото</v>
      </c>
      <c r="R765" s="3" t="str">
        <f>HYPERLINK("https://modify.by/catalog/plavki/215457032/?utm_source=price&amp;utm_medium=xlsx","открыть")</f>
        <v>открыть</v>
      </c>
    </row>
    <row r="766">
      <c r="A766" t="inlineStr">
        <is>
          <t xml:space="preserve">Мужской</t>
        </is>
      </c>
      <c r="B766" t="inlineStr">
        <is>
          <t xml:space="preserve">Плавки</t>
        </is>
      </c>
      <c r="C766" t="inlineStr">
        <is>
          <t xml:space="preserve">Шорты для плавания летние пляжные с сеткой, малиновый</t>
        </is>
      </c>
      <c r="D766" t="inlineStr">
        <is>
          <t xml:space="preserve">BS32M03белый,желтый,малиновый</t>
        </is>
      </c>
      <c r="E766" t="inlineStr">
        <is>
          <t xml:space="preserve">белый, желтый, малиновый</t>
        </is>
      </c>
      <c r="F766" t="inlineStr">
        <is>
          <t xml:space="preserve">46</t>
        </is>
      </c>
      <c r="G766">
        <v>29</v>
      </c>
      <c r="H766" s="2">
        <v>19.0</v>
      </c>
      <c r="I766" t="inlineStr">
        <is>
          <t xml:space="preserve">100% полиэстер</t>
        </is>
      </c>
      <c r="J766"/>
      <c r="K766" t="inlineStr">
        <is>
          <t xml:space="preserve">Бангладеш</t>
        </is>
      </c>
      <c r="L766" t="inlineStr">
        <is>
          <t xml:space="preserve">6211110000</t>
        </is>
      </c>
      <c r="M766" t="inlineStr">
        <is>
          <t xml:space="preserve">Декларация № ЕАЭС № BY/112 11.01. ТР017 122.01 08246, до 19.04.2028</t>
        </is>
      </c>
      <c r="N766" t="inlineStr">
        <is>
          <t xml:space="preserve">27 × 25 × 1</t>
        </is>
      </c>
      <c r="O766" t="inlineStr">
        <is>
          <t xml:space="preserve">0,2</t>
        </is>
      </c>
      <c r="P766" t="inlineStr">
        <is>
          <t xml:space="preserve">2038096203713</t>
        </is>
      </c>
      <c r="Q766" s="3" t="str">
        <f>HYPERLINK("https://modify.by/img/215457032/1.webp","фото")</f>
        <v>фото</v>
      </c>
      <c r="R766" s="3" t="str">
        <f>HYPERLINK("https://modify.by/catalog/plavki/215457032/?utm_source=price&amp;utm_medium=xlsx","открыть")</f>
        <v>открыть</v>
      </c>
    </row>
    <row r="767">
      <c r="A767" t="inlineStr">
        <is>
          <t xml:space="preserve">Мужской</t>
        </is>
      </c>
      <c r="B767" t="inlineStr">
        <is>
          <t xml:space="preserve">Плавки</t>
        </is>
      </c>
      <c r="C767" t="inlineStr">
        <is>
          <t xml:space="preserve">Шорты для плавания летние пляжные с сеткой, малиновый</t>
        </is>
      </c>
      <c r="D767" t="inlineStr">
        <is>
          <t xml:space="preserve">BS32M03белый,желтый,малиновый</t>
        </is>
      </c>
      <c r="E767" t="inlineStr">
        <is>
          <t xml:space="preserve">белый, желтый, малиновый</t>
        </is>
      </c>
      <c r="F767" t="inlineStr">
        <is>
          <t xml:space="preserve">46</t>
        </is>
      </c>
      <c r="G767">
        <v>29</v>
      </c>
      <c r="H767" s="2">
        <v>19.0</v>
      </c>
      <c r="I767" t="inlineStr">
        <is>
          <t xml:space="preserve">100% полиэстер</t>
        </is>
      </c>
      <c r="J767"/>
      <c r="K767" t="inlineStr">
        <is>
          <t xml:space="preserve">Бангладеш</t>
        </is>
      </c>
      <c r="L767" t="inlineStr">
        <is>
          <t xml:space="preserve">6211110000</t>
        </is>
      </c>
      <c r="M767" t="inlineStr">
        <is>
          <t xml:space="preserve">Декларация № ЕАЭС № BY/112 11.01. ТР017 122.01 08246, до 19.04.2028</t>
        </is>
      </c>
      <c r="N767" t="inlineStr">
        <is>
          <t xml:space="preserve">27 × 25 × 1</t>
        </is>
      </c>
      <c r="O767" t="inlineStr">
        <is>
          <t xml:space="preserve">0,2</t>
        </is>
      </c>
      <c r="P767" t="inlineStr">
        <is>
          <t xml:space="preserve">4816148131591</t>
        </is>
      </c>
      <c r="Q767" s="3" t="str">
        <f>HYPERLINK("https://modify.by/img/215457032/1.webp","фото")</f>
        <v>фото</v>
      </c>
      <c r="R767" s="3" t="str">
        <f>HYPERLINK("https://modify.by/catalog/plavki/215457032/?utm_source=price&amp;utm_medium=xlsx","открыть")</f>
        <v>открыть</v>
      </c>
    </row>
    <row r="768">
      <c r="A768" t="inlineStr">
        <is>
          <t xml:space="preserve">Мужской</t>
        </is>
      </c>
      <c r="B768" t="inlineStr">
        <is>
          <t xml:space="preserve">Плавки</t>
        </is>
      </c>
      <c r="C768" t="inlineStr">
        <is>
          <t xml:space="preserve">Шорты для плавания летние пляжные с сеткой, малиновый</t>
        </is>
      </c>
      <c r="D768" t="inlineStr">
        <is>
          <t xml:space="preserve">BS32M03белый,желтый,малиновый</t>
        </is>
      </c>
      <c r="E768" t="inlineStr">
        <is>
          <t xml:space="preserve">белый, желтый, малиновый</t>
        </is>
      </c>
      <c r="F768" t="inlineStr">
        <is>
          <t xml:space="preserve">48</t>
        </is>
      </c>
      <c r="G768">
        <v>9</v>
      </c>
      <c r="H768" s="2">
        <v>19.0</v>
      </c>
      <c r="I768" t="inlineStr">
        <is>
          <t xml:space="preserve">100% полиэстер</t>
        </is>
      </c>
      <c r="J768"/>
      <c r="K768" t="inlineStr">
        <is>
          <t xml:space="preserve">Бангладеш</t>
        </is>
      </c>
      <c r="L768" t="inlineStr">
        <is>
          <t xml:space="preserve">6211110000</t>
        </is>
      </c>
      <c r="M768" t="inlineStr">
        <is>
          <t xml:space="preserve">Декларация № ЕАЭС № BY/112 11.01. ТР017 122.01 08246, до 19.04.2028</t>
        </is>
      </c>
      <c r="N768" t="inlineStr">
        <is>
          <t xml:space="preserve">27 × 25 × 1</t>
        </is>
      </c>
      <c r="O768" t="inlineStr">
        <is>
          <t xml:space="preserve">0,2</t>
        </is>
      </c>
      <c r="P768" t="inlineStr">
        <is>
          <t xml:space="preserve">2038096203720</t>
        </is>
      </c>
      <c r="Q768" s="3" t="str">
        <f>HYPERLINK("https://modify.by/img/215457032/1.webp","фото")</f>
        <v>фото</v>
      </c>
      <c r="R768" s="3" t="str">
        <f>HYPERLINK("https://modify.by/catalog/plavki/215457032/?utm_source=price&amp;utm_medium=xlsx","открыть")</f>
        <v>открыть</v>
      </c>
    </row>
    <row r="769">
      <c r="A769" t="inlineStr">
        <is>
          <t xml:space="preserve">Мужской</t>
        </is>
      </c>
      <c r="B769" t="inlineStr">
        <is>
          <t xml:space="preserve">Плавки</t>
        </is>
      </c>
      <c r="C769" t="inlineStr">
        <is>
          <t xml:space="preserve">Шорты для плавания летние пляжные с сеткой, малиновый</t>
        </is>
      </c>
      <c r="D769" t="inlineStr">
        <is>
          <t xml:space="preserve">BS32M03белый,желтый,малиновый</t>
        </is>
      </c>
      <c r="E769" t="inlineStr">
        <is>
          <t xml:space="preserve">белый, желтый, малиновый</t>
        </is>
      </c>
      <c r="F769" t="inlineStr">
        <is>
          <t xml:space="preserve">48</t>
        </is>
      </c>
      <c r="G769">
        <v>9</v>
      </c>
      <c r="H769" s="2">
        <v>19.0</v>
      </c>
      <c r="I769" t="inlineStr">
        <is>
          <t xml:space="preserve">100% полиэстер</t>
        </is>
      </c>
      <c r="J769"/>
      <c r="K769" t="inlineStr">
        <is>
          <t xml:space="preserve">Бангладеш</t>
        </is>
      </c>
      <c r="L769" t="inlineStr">
        <is>
          <t xml:space="preserve">6211110000</t>
        </is>
      </c>
      <c r="M769" t="inlineStr">
        <is>
          <t xml:space="preserve">Декларация № ЕАЭС № BY/112 11.01. ТР017 122.01 08246, до 19.04.2028</t>
        </is>
      </c>
      <c r="N769" t="inlineStr">
        <is>
          <t xml:space="preserve">27 × 25 × 1</t>
        </is>
      </c>
      <c r="O769" t="inlineStr">
        <is>
          <t xml:space="preserve">0,2</t>
        </is>
      </c>
      <c r="P769" t="inlineStr">
        <is>
          <t xml:space="preserve">4816148131607</t>
        </is>
      </c>
      <c r="Q769" s="3" t="str">
        <f>HYPERLINK("https://modify.by/img/215457032/1.webp","фото")</f>
        <v>фото</v>
      </c>
      <c r="R769" s="3" t="str">
        <f>HYPERLINK("https://modify.by/catalog/plavki/215457032/?utm_source=price&amp;utm_medium=xlsx","открыть")</f>
        <v>открыть</v>
      </c>
    </row>
    <row r="770">
      <c r="A770" t="inlineStr">
        <is>
          <t xml:space="preserve">Мужской</t>
        </is>
      </c>
      <c r="B770" t="inlineStr">
        <is>
          <t xml:space="preserve">Плавки</t>
        </is>
      </c>
      <c r="C770" t="inlineStr">
        <is>
          <t xml:space="preserve">Шорты для плавания летние пляжные с сеткой, розовый</t>
        </is>
      </c>
      <c r="D770" t="inlineStr">
        <is>
          <t xml:space="preserve">BS32M03белый,розовый,черный</t>
        </is>
      </c>
      <c r="E770" t="inlineStr">
        <is>
          <t xml:space="preserve">белый, розовый, черный, зеленый</t>
        </is>
      </c>
      <c r="F770" t="inlineStr">
        <is>
          <t xml:space="preserve">42</t>
        </is>
      </c>
      <c r="G770">
        <v>10</v>
      </c>
      <c r="H770" s="2">
        <v>19.0</v>
      </c>
      <c r="I770" t="inlineStr">
        <is>
          <t xml:space="preserve">100% полиэстер</t>
        </is>
      </c>
      <c r="J770"/>
      <c r="K770" t="inlineStr">
        <is>
          <t xml:space="preserve">Бангладеш</t>
        </is>
      </c>
      <c r="L770" t="inlineStr">
        <is>
          <t xml:space="preserve">6211110000</t>
        </is>
      </c>
      <c r="M770" t="inlineStr">
        <is>
          <t xml:space="preserve">Декларация № ЕАЭС № BY/112 11.01. ТР017 122.01 08246, до 19.04.2028</t>
        </is>
      </c>
      <c r="N770" t="inlineStr">
        <is>
          <t xml:space="preserve">27 × 25 × 1</t>
        </is>
      </c>
      <c r="O770" t="inlineStr">
        <is>
          <t xml:space="preserve">0,2</t>
        </is>
      </c>
      <c r="P770" t="inlineStr">
        <is>
          <t xml:space="preserve">2038096203898</t>
        </is>
      </c>
      <c r="Q770" s="3" t="str">
        <f>HYPERLINK("https://modify.by/img/215457013/1.webp","фото")</f>
        <v>фото</v>
      </c>
      <c r="R770" s="3" t="str">
        <f>HYPERLINK("https://modify.by/catalog/plavki/215457013/?utm_source=price&amp;utm_medium=xlsx","открыть")</f>
        <v>открыть</v>
      </c>
    </row>
    <row r="771">
      <c r="A771" t="inlineStr">
        <is>
          <t xml:space="preserve">Мужской</t>
        </is>
      </c>
      <c r="B771" t="inlineStr">
        <is>
          <t xml:space="preserve">Плавки</t>
        </is>
      </c>
      <c r="C771" t="inlineStr">
        <is>
          <t xml:space="preserve">Шорты для плавания летние пляжные с сеткой, розовый</t>
        </is>
      </c>
      <c r="D771" t="inlineStr">
        <is>
          <t xml:space="preserve">BS32M03белый,розовый,черный</t>
        </is>
      </c>
      <c r="E771" t="inlineStr">
        <is>
          <t xml:space="preserve">белый, розовый, черный, зеленый</t>
        </is>
      </c>
      <c r="F771" t="inlineStr">
        <is>
          <t xml:space="preserve">42</t>
        </is>
      </c>
      <c r="G771">
        <v>10</v>
      </c>
      <c r="H771" s="2">
        <v>19.0</v>
      </c>
      <c r="I771" t="inlineStr">
        <is>
          <t xml:space="preserve">100% полиэстер</t>
        </is>
      </c>
      <c r="J771"/>
      <c r="K771" t="inlineStr">
        <is>
          <t xml:space="preserve">Бангладеш</t>
        </is>
      </c>
      <c r="L771" t="inlineStr">
        <is>
          <t xml:space="preserve">6211110000</t>
        </is>
      </c>
      <c r="M771" t="inlineStr">
        <is>
          <t xml:space="preserve">Декларация № ЕАЭС № BY/112 11.01. ТР017 122.01 08246, до 19.04.2028</t>
        </is>
      </c>
      <c r="N771" t="inlineStr">
        <is>
          <t xml:space="preserve">27 × 25 × 1</t>
        </is>
      </c>
      <c r="O771" t="inlineStr">
        <is>
          <t xml:space="preserve">0,2</t>
        </is>
      </c>
      <c r="P771" t="inlineStr">
        <is>
          <t xml:space="preserve">4816148131775</t>
        </is>
      </c>
      <c r="Q771" s="3" t="str">
        <f>HYPERLINK("https://modify.by/img/215457013/1.webp","фото")</f>
        <v>фото</v>
      </c>
      <c r="R771" s="3" t="str">
        <f>HYPERLINK("https://modify.by/catalog/plavki/215457013/?utm_source=price&amp;utm_medium=xlsx","открыть")</f>
        <v>открыть</v>
      </c>
    </row>
    <row r="772">
      <c r="A772" t="inlineStr">
        <is>
          <t xml:space="preserve">Мужской</t>
        </is>
      </c>
      <c r="B772" t="inlineStr">
        <is>
          <t xml:space="preserve">Плавки</t>
        </is>
      </c>
      <c r="C772" t="inlineStr">
        <is>
          <t xml:space="preserve">Шорты для плавания летние пляжные с сеткой, розовый</t>
        </is>
      </c>
      <c r="D772" t="inlineStr">
        <is>
          <t xml:space="preserve">BS32M03белый,розовый,черный</t>
        </is>
      </c>
      <c r="E772" t="inlineStr">
        <is>
          <t xml:space="preserve">белый, розовый, черный, зеленый</t>
        </is>
      </c>
      <c r="F772" t="inlineStr">
        <is>
          <t xml:space="preserve">44</t>
        </is>
      </c>
      <c r="G772">
        <v>14</v>
      </c>
      <c r="H772" s="2">
        <v>19.0</v>
      </c>
      <c r="I772" t="inlineStr">
        <is>
          <t xml:space="preserve">100% полиэстер</t>
        </is>
      </c>
      <c r="J772"/>
      <c r="K772" t="inlineStr">
        <is>
          <t xml:space="preserve">Бангладеш</t>
        </is>
      </c>
      <c r="L772" t="inlineStr">
        <is>
          <t xml:space="preserve">6211110000</t>
        </is>
      </c>
      <c r="M772" t="inlineStr">
        <is>
          <t xml:space="preserve">Декларация № ЕАЭС № BY/112 11.01. ТР017 122.01 08246, до 19.04.2028</t>
        </is>
      </c>
      <c r="N772" t="inlineStr">
        <is>
          <t xml:space="preserve">27 × 25 × 1</t>
        </is>
      </c>
      <c r="O772" t="inlineStr">
        <is>
          <t xml:space="preserve">0,2</t>
        </is>
      </c>
      <c r="P772" t="inlineStr">
        <is>
          <t xml:space="preserve">2038096203904</t>
        </is>
      </c>
      <c r="Q772" s="3" t="str">
        <f>HYPERLINK("https://modify.by/img/215457013/1.webp","фото")</f>
        <v>фото</v>
      </c>
      <c r="R772" s="3" t="str">
        <f>HYPERLINK("https://modify.by/catalog/plavki/215457013/?utm_source=price&amp;utm_medium=xlsx","открыть")</f>
        <v>открыть</v>
      </c>
    </row>
    <row r="773">
      <c r="A773" t="inlineStr">
        <is>
          <t xml:space="preserve">Мужской</t>
        </is>
      </c>
      <c r="B773" t="inlineStr">
        <is>
          <t xml:space="preserve">Плавки</t>
        </is>
      </c>
      <c r="C773" t="inlineStr">
        <is>
          <t xml:space="preserve">Шорты для плавания летние пляжные с сеткой, розовый</t>
        </is>
      </c>
      <c r="D773" t="inlineStr">
        <is>
          <t xml:space="preserve">BS32M03белый,розовый,черный</t>
        </is>
      </c>
      <c r="E773" t="inlineStr">
        <is>
          <t xml:space="preserve">белый, розовый, черный, зеленый</t>
        </is>
      </c>
      <c r="F773" t="inlineStr">
        <is>
          <t xml:space="preserve">44</t>
        </is>
      </c>
      <c r="G773">
        <v>14</v>
      </c>
      <c r="H773" s="2">
        <v>19.0</v>
      </c>
      <c r="I773" t="inlineStr">
        <is>
          <t xml:space="preserve">100% полиэстер</t>
        </is>
      </c>
      <c r="J773"/>
      <c r="K773" t="inlineStr">
        <is>
          <t xml:space="preserve">Бангладеш</t>
        </is>
      </c>
      <c r="L773" t="inlineStr">
        <is>
          <t xml:space="preserve">6211110000</t>
        </is>
      </c>
      <c r="M773" t="inlineStr">
        <is>
          <t xml:space="preserve">Декларация № ЕАЭС № BY/112 11.01. ТР017 122.01 08246, до 19.04.2028</t>
        </is>
      </c>
      <c r="N773" t="inlineStr">
        <is>
          <t xml:space="preserve">27 × 25 × 1</t>
        </is>
      </c>
      <c r="O773" t="inlineStr">
        <is>
          <t xml:space="preserve">0,2</t>
        </is>
      </c>
      <c r="P773" t="inlineStr">
        <is>
          <t xml:space="preserve">4816148131782</t>
        </is>
      </c>
      <c r="Q773" s="3" t="str">
        <f>HYPERLINK("https://modify.by/img/215457013/1.webp","фото")</f>
        <v>фото</v>
      </c>
      <c r="R773" s="3" t="str">
        <f>HYPERLINK("https://modify.by/catalog/plavki/215457013/?utm_source=price&amp;utm_medium=xlsx","открыть")</f>
        <v>открыть</v>
      </c>
    </row>
    <row r="774">
      <c r="A774" t="inlineStr">
        <is>
          <t xml:space="preserve">Мужской</t>
        </is>
      </c>
      <c r="B774" t="inlineStr">
        <is>
          <t xml:space="preserve">Плавки</t>
        </is>
      </c>
      <c r="C774" t="inlineStr">
        <is>
          <t xml:space="preserve">Шорты для плавания летние пляжные с сеткой, розовый</t>
        </is>
      </c>
      <c r="D774" t="inlineStr">
        <is>
          <t xml:space="preserve">BS32M03белый,розовый,черный</t>
        </is>
      </c>
      <c r="E774" t="inlineStr">
        <is>
          <t xml:space="preserve">белый, розовый, черный, зеленый</t>
        </is>
      </c>
      <c r="F774" t="inlineStr">
        <is>
          <t xml:space="preserve">46</t>
        </is>
      </c>
      <c r="G774">
        <v>10</v>
      </c>
      <c r="H774" s="2">
        <v>19.0</v>
      </c>
      <c r="I774" t="inlineStr">
        <is>
          <t xml:space="preserve">100% полиэстер</t>
        </is>
      </c>
      <c r="J774"/>
      <c r="K774" t="inlineStr">
        <is>
          <t xml:space="preserve">Бангладеш</t>
        </is>
      </c>
      <c r="L774" t="inlineStr">
        <is>
          <t xml:space="preserve">6211110000</t>
        </is>
      </c>
      <c r="M774" t="inlineStr">
        <is>
          <t xml:space="preserve">Декларация № ЕАЭС № BY/112 11.01. ТР017 122.01 08246, до 19.04.2028</t>
        </is>
      </c>
      <c r="N774" t="inlineStr">
        <is>
          <t xml:space="preserve">27 × 25 × 1</t>
        </is>
      </c>
      <c r="O774" t="inlineStr">
        <is>
          <t xml:space="preserve">0,2</t>
        </is>
      </c>
      <c r="P774" t="inlineStr">
        <is>
          <t xml:space="preserve">2038096203911</t>
        </is>
      </c>
      <c r="Q774" s="3" t="str">
        <f>HYPERLINK("https://modify.by/img/215457013/1.webp","фото")</f>
        <v>фото</v>
      </c>
      <c r="R774" s="3" t="str">
        <f>HYPERLINK("https://modify.by/catalog/plavki/215457013/?utm_source=price&amp;utm_medium=xlsx","открыть")</f>
        <v>открыть</v>
      </c>
    </row>
    <row r="775">
      <c r="A775" t="inlineStr">
        <is>
          <t xml:space="preserve">Мужской</t>
        </is>
      </c>
      <c r="B775" t="inlineStr">
        <is>
          <t xml:space="preserve">Плавки</t>
        </is>
      </c>
      <c r="C775" t="inlineStr">
        <is>
          <t xml:space="preserve">Шорты для плавания летние пляжные с сеткой, розовый</t>
        </is>
      </c>
      <c r="D775" t="inlineStr">
        <is>
          <t xml:space="preserve">BS32M03белый,розовый,черный</t>
        </is>
      </c>
      <c r="E775" t="inlineStr">
        <is>
          <t xml:space="preserve">белый, розовый, черный, зеленый</t>
        </is>
      </c>
      <c r="F775" t="inlineStr">
        <is>
          <t xml:space="preserve">46</t>
        </is>
      </c>
      <c r="G775">
        <v>10</v>
      </c>
      <c r="H775" s="2">
        <v>19.0</v>
      </c>
      <c r="I775" t="inlineStr">
        <is>
          <t xml:space="preserve">100% полиэстер</t>
        </is>
      </c>
      <c r="J775"/>
      <c r="K775" t="inlineStr">
        <is>
          <t xml:space="preserve">Бангладеш</t>
        </is>
      </c>
      <c r="L775" t="inlineStr">
        <is>
          <t xml:space="preserve">6211110000</t>
        </is>
      </c>
      <c r="M775" t="inlineStr">
        <is>
          <t xml:space="preserve">Декларация № ЕАЭС № BY/112 11.01. ТР017 122.01 08246, до 19.04.2028</t>
        </is>
      </c>
      <c r="N775" t="inlineStr">
        <is>
          <t xml:space="preserve">27 × 25 × 1</t>
        </is>
      </c>
      <c r="O775" t="inlineStr">
        <is>
          <t xml:space="preserve">0,2</t>
        </is>
      </c>
      <c r="P775" t="inlineStr">
        <is>
          <t xml:space="preserve">4816148131799</t>
        </is>
      </c>
      <c r="Q775" s="3" t="str">
        <f>HYPERLINK("https://modify.by/img/215457013/1.webp","фото")</f>
        <v>фото</v>
      </c>
      <c r="R775" s="3" t="str">
        <f>HYPERLINK("https://modify.by/catalog/plavki/215457013/?utm_source=price&amp;utm_medium=xlsx","открыть")</f>
        <v>открыть</v>
      </c>
    </row>
    <row r="776">
      <c r="A776" t="inlineStr">
        <is>
          <t xml:space="preserve">Мужской</t>
        </is>
      </c>
      <c r="B776" t="inlineStr">
        <is>
          <t xml:space="preserve">Плавки</t>
        </is>
      </c>
      <c r="C776" t="inlineStr">
        <is>
          <t xml:space="preserve">Шорты для плавания летние пляжные с сеткой, розовый</t>
        </is>
      </c>
      <c r="D776" t="inlineStr">
        <is>
          <t xml:space="preserve">BS32M03белый,розовый,черный</t>
        </is>
      </c>
      <c r="E776" t="inlineStr">
        <is>
          <t xml:space="preserve">белый, розовый, черный, зеленый</t>
        </is>
      </c>
      <c r="F776" t="inlineStr">
        <is>
          <t xml:space="preserve">48</t>
        </is>
      </c>
      <c r="G776">
        <v>17</v>
      </c>
      <c r="H776" s="2">
        <v>19.0</v>
      </c>
      <c r="I776" t="inlineStr">
        <is>
          <t xml:space="preserve">100% полиэстер</t>
        </is>
      </c>
      <c r="J776"/>
      <c r="K776" t="inlineStr">
        <is>
          <t xml:space="preserve">Бангладеш</t>
        </is>
      </c>
      <c r="L776" t="inlineStr">
        <is>
          <t xml:space="preserve">6211110000</t>
        </is>
      </c>
      <c r="M776" t="inlineStr">
        <is>
          <t xml:space="preserve">Декларация № ЕАЭС № BY/112 11.01. ТР017 122.01 08246, до 19.04.2028</t>
        </is>
      </c>
      <c r="N776" t="inlineStr">
        <is>
          <t xml:space="preserve">27 × 25 × 1</t>
        </is>
      </c>
      <c r="O776" t="inlineStr">
        <is>
          <t xml:space="preserve">0,2</t>
        </is>
      </c>
      <c r="P776" t="inlineStr">
        <is>
          <t xml:space="preserve">2038096203928</t>
        </is>
      </c>
      <c r="Q776" s="3" t="str">
        <f>HYPERLINK("https://modify.by/img/215457013/1.webp","фото")</f>
        <v>фото</v>
      </c>
      <c r="R776" s="3" t="str">
        <f>HYPERLINK("https://modify.by/catalog/plavki/215457013/?utm_source=price&amp;utm_medium=xlsx","открыть")</f>
        <v>открыть</v>
      </c>
    </row>
    <row r="777">
      <c r="A777" t="inlineStr">
        <is>
          <t xml:space="preserve">Мужской</t>
        </is>
      </c>
      <c r="B777" t="inlineStr">
        <is>
          <t xml:space="preserve">Плавки</t>
        </is>
      </c>
      <c r="C777" t="inlineStr">
        <is>
          <t xml:space="preserve">Шорты для плавания летние пляжные с сеткой, розовый</t>
        </is>
      </c>
      <c r="D777" t="inlineStr">
        <is>
          <t xml:space="preserve">BS32M03белый,розовый,черный</t>
        </is>
      </c>
      <c r="E777" t="inlineStr">
        <is>
          <t xml:space="preserve">белый, розовый, черный, зеленый</t>
        </is>
      </c>
      <c r="F777" t="inlineStr">
        <is>
          <t xml:space="preserve">48</t>
        </is>
      </c>
      <c r="G777">
        <v>17</v>
      </c>
      <c r="H777" s="2">
        <v>19.0</v>
      </c>
      <c r="I777" t="inlineStr">
        <is>
          <t xml:space="preserve">100% полиэстер</t>
        </is>
      </c>
      <c r="J777"/>
      <c r="K777" t="inlineStr">
        <is>
          <t xml:space="preserve">Бангладеш</t>
        </is>
      </c>
      <c r="L777" t="inlineStr">
        <is>
          <t xml:space="preserve">6211110000</t>
        </is>
      </c>
      <c r="M777" t="inlineStr">
        <is>
          <t xml:space="preserve">Декларация № ЕАЭС № BY/112 11.01. ТР017 122.01 08246, до 19.04.2028</t>
        </is>
      </c>
      <c r="N777" t="inlineStr">
        <is>
          <t xml:space="preserve">27 × 25 × 1</t>
        </is>
      </c>
      <c r="O777" t="inlineStr">
        <is>
          <t xml:space="preserve">0,2</t>
        </is>
      </c>
      <c r="P777" t="inlineStr">
        <is>
          <t xml:space="preserve">4816148131805</t>
        </is>
      </c>
      <c r="Q777" s="3" t="str">
        <f>HYPERLINK("https://modify.by/img/215457013/1.webp","фото")</f>
        <v>фото</v>
      </c>
      <c r="R777" s="3" t="str">
        <f>HYPERLINK("https://modify.by/catalog/plavki/215457013/?utm_source=price&amp;utm_medium=xlsx","открыть")</f>
        <v>открыть</v>
      </c>
    </row>
    <row r="778">
      <c r="A778" t="inlineStr">
        <is>
          <t xml:space="preserve">Мужской</t>
        </is>
      </c>
      <c r="B778" t="inlineStr">
        <is>
          <t xml:space="preserve">Плавки</t>
        </is>
      </c>
      <c r="C778" t="inlineStr">
        <is>
          <t xml:space="preserve">Шорты для плавания летние пляжные с сеткой, розовый</t>
        </is>
      </c>
      <c r="D778" t="inlineStr">
        <is>
          <t xml:space="preserve">BS32M03белый,розовый,черный</t>
        </is>
      </c>
      <c r="E778" t="inlineStr">
        <is>
          <t xml:space="preserve">белый, розовый, черный, зеленый</t>
        </is>
      </c>
      <c r="F778" t="inlineStr">
        <is>
          <t xml:space="preserve">50</t>
        </is>
      </c>
      <c r="G778">
        <v>18</v>
      </c>
      <c r="H778" s="2">
        <v>19.0</v>
      </c>
      <c r="I778" t="inlineStr">
        <is>
          <t xml:space="preserve">100% полиэстер</t>
        </is>
      </c>
      <c r="J778"/>
      <c r="K778" t="inlineStr">
        <is>
          <t xml:space="preserve">Бангладеш</t>
        </is>
      </c>
      <c r="L778" t="inlineStr">
        <is>
          <t xml:space="preserve">6211110000</t>
        </is>
      </c>
      <c r="M778" t="inlineStr">
        <is>
          <t xml:space="preserve">Декларация № ЕАЭС № BY/112 11.01. ТР017 122.01 08246, до 19.04.2028</t>
        </is>
      </c>
      <c r="N778" t="inlineStr">
        <is>
          <t xml:space="preserve">27 × 25 × 1</t>
        </is>
      </c>
      <c r="O778" t="inlineStr">
        <is>
          <t xml:space="preserve">0,2</t>
        </is>
      </c>
      <c r="P778" t="inlineStr">
        <is>
          <t xml:space="preserve">2038096203935</t>
        </is>
      </c>
      <c r="Q778" s="3" t="str">
        <f>HYPERLINK("https://modify.by/img/215457013/1.webp","фото")</f>
        <v>фото</v>
      </c>
      <c r="R778" s="3" t="str">
        <f>HYPERLINK("https://modify.by/catalog/plavki/215457013/?utm_source=price&amp;utm_medium=xlsx","открыть")</f>
        <v>открыть</v>
      </c>
    </row>
    <row r="779">
      <c r="A779" t="inlineStr">
        <is>
          <t xml:space="preserve">Мужской</t>
        </is>
      </c>
      <c r="B779" t="inlineStr">
        <is>
          <t xml:space="preserve">Плавки</t>
        </is>
      </c>
      <c r="C779" t="inlineStr">
        <is>
          <t xml:space="preserve">Шорты для плавания летние пляжные с сеткой, розовый</t>
        </is>
      </c>
      <c r="D779" t="inlineStr">
        <is>
          <t xml:space="preserve">BS32M03белый,розовый,черный</t>
        </is>
      </c>
      <c r="E779" t="inlineStr">
        <is>
          <t xml:space="preserve">белый, розовый, черный, зеленый</t>
        </is>
      </c>
      <c r="F779" t="inlineStr">
        <is>
          <t xml:space="preserve">50</t>
        </is>
      </c>
      <c r="G779">
        <v>18</v>
      </c>
      <c r="H779" s="2">
        <v>19.0</v>
      </c>
      <c r="I779" t="inlineStr">
        <is>
          <t xml:space="preserve">100% полиэстер</t>
        </is>
      </c>
      <c r="J779"/>
      <c r="K779" t="inlineStr">
        <is>
          <t xml:space="preserve">Бангладеш</t>
        </is>
      </c>
      <c r="L779" t="inlineStr">
        <is>
          <t xml:space="preserve">6211110000</t>
        </is>
      </c>
      <c r="M779" t="inlineStr">
        <is>
          <t xml:space="preserve">Декларация № ЕАЭС № BY/112 11.01. ТР017 122.01 08246, до 19.04.2028</t>
        </is>
      </c>
      <c r="N779" t="inlineStr">
        <is>
          <t xml:space="preserve">27 × 25 × 1</t>
        </is>
      </c>
      <c r="O779" t="inlineStr">
        <is>
          <t xml:space="preserve">0,2</t>
        </is>
      </c>
      <c r="P779" t="inlineStr">
        <is>
          <t xml:space="preserve">4816148131812</t>
        </is>
      </c>
      <c r="Q779" s="3" t="str">
        <f>HYPERLINK("https://modify.by/img/215457013/1.webp","фото")</f>
        <v>фото</v>
      </c>
      <c r="R779" s="3" t="str">
        <f>HYPERLINK("https://modify.by/catalog/plavki/215457013/?utm_source=price&amp;utm_medium=xlsx","открыть")</f>
        <v>открыть</v>
      </c>
    </row>
    <row r="780">
      <c r="A780" t="inlineStr">
        <is>
          <t xml:space="preserve">Мужской</t>
        </is>
      </c>
      <c r="B780" t="inlineStr">
        <is>
          <t xml:space="preserve">Плавки</t>
        </is>
      </c>
      <c r="C780" t="inlineStr">
        <is>
          <t xml:space="preserve">Шорты для плавания летние пляжные с сеткой, синий, арт. BS32M03белый,синий,зеленый</t>
        </is>
      </c>
      <c r="D780" t="inlineStr">
        <is>
          <t xml:space="preserve">BS32M03белый,синий,зеленый</t>
        </is>
      </c>
      <c r="E780" t="inlineStr">
        <is>
          <t xml:space="preserve">белый, синий, зеленый, желтый, ярко-розовый</t>
        </is>
      </c>
      <c r="F780" t="inlineStr">
        <is>
          <t xml:space="preserve">42</t>
        </is>
      </c>
      <c r="G780">
        <v>18</v>
      </c>
      <c r="H780" s="2">
        <v>19.0</v>
      </c>
      <c r="I780" t="inlineStr">
        <is>
          <t xml:space="preserve">100% полиэстер</t>
        </is>
      </c>
      <c r="J780"/>
      <c r="K780" t="inlineStr">
        <is>
          <t xml:space="preserve">Бангладеш</t>
        </is>
      </c>
      <c r="L780" t="inlineStr">
        <is>
          <t xml:space="preserve">6211110000</t>
        </is>
      </c>
      <c r="M780" t="inlineStr">
        <is>
          <t xml:space="preserve">Декларация № ЕАЭС № BY/112 11.01. ТР017 122.01 08246, до 19.04.2028</t>
        </is>
      </c>
      <c r="N780" t="inlineStr">
        <is>
          <t xml:space="preserve">27 × 31 × 1</t>
        </is>
      </c>
      <c r="O780" t="inlineStr">
        <is>
          <t xml:space="preserve">0,2</t>
        </is>
      </c>
      <c r="P780" t="inlineStr">
        <is>
          <t xml:space="preserve">2038096203799</t>
        </is>
      </c>
      <c r="Q780" s="3" t="str">
        <f>HYPERLINK("https://modify.by/img/215457026/1.webp","фото")</f>
        <v>фото</v>
      </c>
      <c r="R780" s="3" t="str">
        <f>HYPERLINK("https://modify.by/catalog/plavki/215457026/?utm_source=price&amp;utm_medium=xlsx","открыть")</f>
        <v>открыть</v>
      </c>
    </row>
    <row r="781">
      <c r="A781" t="inlineStr">
        <is>
          <t xml:space="preserve">Мужской</t>
        </is>
      </c>
      <c r="B781" t="inlineStr">
        <is>
          <t xml:space="preserve">Плавки</t>
        </is>
      </c>
      <c r="C781" t="inlineStr">
        <is>
          <t xml:space="preserve">Шорты для плавания летние пляжные с сеткой, синий, арт. BS32M03белый,синий,зеленый</t>
        </is>
      </c>
      <c r="D781" t="inlineStr">
        <is>
          <t xml:space="preserve">BS32M03белый,синий,зеленый</t>
        </is>
      </c>
      <c r="E781" t="inlineStr">
        <is>
          <t xml:space="preserve">белый, синий, зеленый, желтый, ярко-розовый</t>
        </is>
      </c>
      <c r="F781" t="inlineStr">
        <is>
          <t xml:space="preserve">42</t>
        </is>
      </c>
      <c r="G781">
        <v>18</v>
      </c>
      <c r="H781" s="2">
        <v>19.0</v>
      </c>
      <c r="I781" t="inlineStr">
        <is>
          <t xml:space="preserve">100% полиэстер</t>
        </is>
      </c>
      <c r="J781"/>
      <c r="K781" t="inlineStr">
        <is>
          <t xml:space="preserve">Бангладеш</t>
        </is>
      </c>
      <c r="L781" t="inlineStr">
        <is>
          <t xml:space="preserve">6211110000</t>
        </is>
      </c>
      <c r="M781" t="inlineStr">
        <is>
          <t xml:space="preserve">Декларация № ЕАЭС № BY/112 11.01. ТР017 122.01 08246, до 19.04.2028</t>
        </is>
      </c>
      <c r="N781" t="inlineStr">
        <is>
          <t xml:space="preserve">27 × 31 × 1</t>
        </is>
      </c>
      <c r="O781" t="inlineStr">
        <is>
          <t xml:space="preserve">0,2</t>
        </is>
      </c>
      <c r="P781" t="inlineStr">
        <is>
          <t xml:space="preserve">4816148131676</t>
        </is>
      </c>
      <c r="Q781" s="3" t="str">
        <f>HYPERLINK("https://modify.by/img/215457026/1.webp","фото")</f>
        <v>фото</v>
      </c>
      <c r="R781" s="3" t="str">
        <f>HYPERLINK("https://modify.by/catalog/plavki/215457026/?utm_source=price&amp;utm_medium=xlsx","открыть")</f>
        <v>открыть</v>
      </c>
    </row>
    <row r="782">
      <c r="A782" t="inlineStr">
        <is>
          <t xml:space="preserve">Мужской</t>
        </is>
      </c>
      <c r="B782" t="inlineStr">
        <is>
          <t xml:space="preserve">Плавки</t>
        </is>
      </c>
      <c r="C782" t="inlineStr">
        <is>
          <t xml:space="preserve">Шорты для плавания летние пляжные с сеткой, синий, арт. BS32M03белый,синий,зеленый</t>
        </is>
      </c>
      <c r="D782" t="inlineStr">
        <is>
          <t xml:space="preserve">BS32M03белый,синий,зеленый</t>
        </is>
      </c>
      <c r="E782" t="inlineStr">
        <is>
          <t xml:space="preserve">белый, синий, зеленый, желтый, ярко-розовый</t>
        </is>
      </c>
      <c r="F782" t="inlineStr">
        <is>
          <t xml:space="preserve">48</t>
        </is>
      </c>
      <c r="G782">
        <v>9</v>
      </c>
      <c r="H782" s="2">
        <v>19.0</v>
      </c>
      <c r="I782" t="inlineStr">
        <is>
          <t xml:space="preserve">100% полиэстер</t>
        </is>
      </c>
      <c r="J782"/>
      <c r="K782" t="inlineStr">
        <is>
          <t xml:space="preserve">Бангладеш</t>
        </is>
      </c>
      <c r="L782" t="inlineStr">
        <is>
          <t xml:space="preserve">6211110000</t>
        </is>
      </c>
      <c r="M782" t="inlineStr">
        <is>
          <t xml:space="preserve">Декларация № ЕАЭС № BY/112 11.01. ТР017 122.01 08246, до 19.04.2028</t>
        </is>
      </c>
      <c r="N782" t="inlineStr">
        <is>
          <t xml:space="preserve">27 × 31 × 1</t>
        </is>
      </c>
      <c r="O782" t="inlineStr">
        <is>
          <t xml:space="preserve">0,2</t>
        </is>
      </c>
      <c r="P782" t="inlineStr">
        <is>
          <t xml:space="preserve">2038096203829</t>
        </is>
      </c>
      <c r="Q782" s="3" t="str">
        <f>HYPERLINK("https://modify.by/img/215457026/1.webp","фото")</f>
        <v>фото</v>
      </c>
      <c r="R782" s="3" t="str">
        <f>HYPERLINK("https://modify.by/catalog/plavki/215457026/?utm_source=price&amp;utm_medium=xlsx","открыть")</f>
        <v>открыть</v>
      </c>
    </row>
    <row r="783">
      <c r="A783" t="inlineStr">
        <is>
          <t xml:space="preserve">Мужской</t>
        </is>
      </c>
      <c r="B783" t="inlineStr">
        <is>
          <t xml:space="preserve">Плавки</t>
        </is>
      </c>
      <c r="C783" t="inlineStr">
        <is>
          <t xml:space="preserve">Шорты для плавания летние пляжные с сеткой, синий, арт. BS32M03белый,синий,зеленый</t>
        </is>
      </c>
      <c r="D783" t="inlineStr">
        <is>
          <t xml:space="preserve">BS32M03белый,синий,зеленый</t>
        </is>
      </c>
      <c r="E783" t="inlineStr">
        <is>
          <t xml:space="preserve">белый, синий, зеленый, желтый, ярко-розовый</t>
        </is>
      </c>
      <c r="F783" t="inlineStr">
        <is>
          <t xml:space="preserve">48</t>
        </is>
      </c>
      <c r="G783">
        <v>9</v>
      </c>
      <c r="H783" s="2">
        <v>19.0</v>
      </c>
      <c r="I783" t="inlineStr">
        <is>
          <t xml:space="preserve">100% полиэстер</t>
        </is>
      </c>
      <c r="J783"/>
      <c r="K783" t="inlineStr">
        <is>
          <t xml:space="preserve">Бангладеш</t>
        </is>
      </c>
      <c r="L783" t="inlineStr">
        <is>
          <t xml:space="preserve">6211110000</t>
        </is>
      </c>
      <c r="M783" t="inlineStr">
        <is>
          <t xml:space="preserve">Декларация № ЕАЭС № BY/112 11.01. ТР017 122.01 08246, до 19.04.2028</t>
        </is>
      </c>
      <c r="N783" t="inlineStr">
        <is>
          <t xml:space="preserve">27 × 31 × 1</t>
        </is>
      </c>
      <c r="O783" t="inlineStr">
        <is>
          <t xml:space="preserve">0,2</t>
        </is>
      </c>
      <c r="P783" t="inlineStr">
        <is>
          <t xml:space="preserve">4816148131706</t>
        </is>
      </c>
      <c r="Q783" s="3" t="str">
        <f>HYPERLINK("https://modify.by/img/215457026/1.webp","фото")</f>
        <v>фото</v>
      </c>
      <c r="R783" s="3" t="str">
        <f>HYPERLINK("https://modify.by/catalog/plavki/215457026/?utm_source=price&amp;utm_medium=xlsx","открыть")</f>
        <v>открыть</v>
      </c>
    </row>
    <row r="784">
      <c r="A784" t="inlineStr">
        <is>
          <t xml:space="preserve">Мужской</t>
        </is>
      </c>
      <c r="B784" t="inlineStr">
        <is>
          <t xml:space="preserve">Плавки</t>
        </is>
      </c>
      <c r="C784" t="inlineStr">
        <is>
          <t xml:space="preserve">Шорты для плавания летние пляжные с сеткой, синий, арт. BS32M03синий,белый</t>
        </is>
      </c>
      <c r="D784" t="inlineStr">
        <is>
          <t xml:space="preserve">BS32M03синий,белый</t>
        </is>
      </c>
      <c r="E784" t="inlineStr">
        <is>
          <t xml:space="preserve">синий, белый</t>
        </is>
      </c>
      <c r="F784" t="inlineStr">
        <is>
          <t xml:space="preserve">46</t>
        </is>
      </c>
      <c r="G784">
        <v>1</v>
      </c>
      <c r="H784" s="2">
        <v>19.0</v>
      </c>
      <c r="I784" t="inlineStr">
        <is>
          <t xml:space="preserve">100% полиэстер</t>
        </is>
      </c>
      <c r="J784"/>
      <c r="K784" t="inlineStr">
        <is>
          <t xml:space="preserve">Бангладеш</t>
        </is>
      </c>
      <c r="L784" t="inlineStr">
        <is>
          <t xml:space="preserve">6211110000</t>
        </is>
      </c>
      <c r="M784" t="inlineStr">
        <is>
          <t xml:space="preserve">Декларация № ЕАЭС № BY/112 11.01. ТР017 122.01 08246, до 19.04.2028</t>
        </is>
      </c>
      <c r="N784" t="inlineStr">
        <is>
          <t xml:space="preserve">27 × 25 × 1</t>
        </is>
      </c>
      <c r="O784" t="inlineStr">
        <is>
          <t xml:space="preserve">0,2</t>
        </is>
      </c>
      <c r="P784" t="inlineStr">
        <is>
          <t xml:space="preserve">2038096203560</t>
        </is>
      </c>
      <c r="Q784" s="3" t="str">
        <f>HYPERLINK("https://modify.by/img/215457000/1.webp","фото")</f>
        <v>фото</v>
      </c>
      <c r="R784" s="3" t="str">
        <f>HYPERLINK("https://modify.by/catalog/plavki/215457000/?utm_source=price&amp;utm_medium=xlsx","открыть")</f>
        <v>открыть</v>
      </c>
    </row>
    <row r="785">
      <c r="A785" t="inlineStr">
        <is>
          <t xml:space="preserve">Мужской</t>
        </is>
      </c>
      <c r="B785" t="inlineStr">
        <is>
          <t xml:space="preserve">Плавки</t>
        </is>
      </c>
      <c r="C785" t="inlineStr">
        <is>
          <t xml:space="preserve">Шорты для плавания летние пляжные с сеткой, синий, арт. BS32M03синий,белый</t>
        </is>
      </c>
      <c r="D785" t="inlineStr">
        <is>
          <t xml:space="preserve">BS32M03синий,белый</t>
        </is>
      </c>
      <c r="E785" t="inlineStr">
        <is>
          <t xml:space="preserve">синий, белый</t>
        </is>
      </c>
      <c r="F785" t="inlineStr">
        <is>
          <t xml:space="preserve">46</t>
        </is>
      </c>
      <c r="G785">
        <v>1</v>
      </c>
      <c r="H785" s="2">
        <v>19.0</v>
      </c>
      <c r="I785" t="inlineStr">
        <is>
          <t xml:space="preserve">100% полиэстер</t>
        </is>
      </c>
      <c r="J785"/>
      <c r="K785" t="inlineStr">
        <is>
          <t xml:space="preserve">Бангладеш</t>
        </is>
      </c>
      <c r="L785" t="inlineStr">
        <is>
          <t xml:space="preserve">6211110000</t>
        </is>
      </c>
      <c r="M785" t="inlineStr">
        <is>
          <t xml:space="preserve">Декларация № ЕАЭС № BY/112 11.01. ТР017 122.01 08246, до 19.04.2028</t>
        </is>
      </c>
      <c r="N785" t="inlineStr">
        <is>
          <t xml:space="preserve">27 × 25 × 1</t>
        </is>
      </c>
      <c r="O785" t="inlineStr">
        <is>
          <t xml:space="preserve">0,2</t>
        </is>
      </c>
      <c r="P785" t="inlineStr">
        <is>
          <t xml:space="preserve">4816148131447</t>
        </is>
      </c>
      <c r="Q785" s="3" t="str">
        <f>HYPERLINK("https://modify.by/img/215457000/1.webp","фото")</f>
        <v>фото</v>
      </c>
      <c r="R785" s="3" t="str">
        <f>HYPERLINK("https://modify.by/catalog/plavki/215457000/?utm_source=price&amp;utm_medium=xlsx","открыть")</f>
        <v>открыть</v>
      </c>
    </row>
    <row r="786">
      <c r="A786" t="inlineStr">
        <is>
          <t xml:space="preserve">Мужской</t>
        </is>
      </c>
      <c r="B786" t="inlineStr">
        <is>
          <t xml:space="preserve">Плавки</t>
        </is>
      </c>
      <c r="C786" t="inlineStr">
        <is>
          <t xml:space="preserve">Шорты для плавания летние пляжные с сеткой, синий, арт. BS32M03синий,белый</t>
        </is>
      </c>
      <c r="D786" t="inlineStr">
        <is>
          <t xml:space="preserve">BS32M03синий,белый</t>
        </is>
      </c>
      <c r="E786" t="inlineStr">
        <is>
          <t xml:space="preserve">синий, белый</t>
        </is>
      </c>
      <c r="F786" t="inlineStr">
        <is>
          <t xml:space="preserve">48</t>
        </is>
      </c>
      <c r="G786">
        <v>11</v>
      </c>
      <c r="H786" s="2">
        <v>19.0</v>
      </c>
      <c r="I786" t="inlineStr">
        <is>
          <t xml:space="preserve">100% полиэстер</t>
        </is>
      </c>
      <c r="J786"/>
      <c r="K786" t="inlineStr">
        <is>
          <t xml:space="preserve">Бангладеш</t>
        </is>
      </c>
      <c r="L786" t="inlineStr">
        <is>
          <t xml:space="preserve">6211110000</t>
        </is>
      </c>
      <c r="M786" t="inlineStr">
        <is>
          <t xml:space="preserve">Декларация № ЕАЭС № BY/112 11.01. ТР017 122.01 08246, до 19.04.2028</t>
        </is>
      </c>
      <c r="N786" t="inlineStr">
        <is>
          <t xml:space="preserve">27 × 25 × 1</t>
        </is>
      </c>
      <c r="O786" t="inlineStr">
        <is>
          <t xml:space="preserve">0,2</t>
        </is>
      </c>
      <c r="P786" t="inlineStr">
        <is>
          <t xml:space="preserve">2038096203577</t>
        </is>
      </c>
      <c r="Q786" s="3" t="str">
        <f>HYPERLINK("https://modify.by/img/215457000/1.webp","фото")</f>
        <v>фото</v>
      </c>
      <c r="R786" s="3" t="str">
        <f>HYPERLINK("https://modify.by/catalog/plavki/215457000/?utm_source=price&amp;utm_medium=xlsx","открыть")</f>
        <v>открыть</v>
      </c>
    </row>
    <row r="787">
      <c r="A787" t="inlineStr">
        <is>
          <t xml:space="preserve">Мужской</t>
        </is>
      </c>
      <c r="B787" t="inlineStr">
        <is>
          <t xml:space="preserve">Плавки</t>
        </is>
      </c>
      <c r="C787" t="inlineStr">
        <is>
          <t xml:space="preserve">Шорты для плавания летние пляжные с сеткой, синий, арт. BS32M03синий,белый</t>
        </is>
      </c>
      <c r="D787" t="inlineStr">
        <is>
          <t xml:space="preserve">BS32M03синий,белый</t>
        </is>
      </c>
      <c r="E787" t="inlineStr">
        <is>
          <t xml:space="preserve">синий, белый</t>
        </is>
      </c>
      <c r="F787" t="inlineStr">
        <is>
          <t xml:space="preserve">48</t>
        </is>
      </c>
      <c r="G787">
        <v>11</v>
      </c>
      <c r="H787" s="2">
        <v>19.0</v>
      </c>
      <c r="I787" t="inlineStr">
        <is>
          <t xml:space="preserve">100% полиэстер</t>
        </is>
      </c>
      <c r="J787"/>
      <c r="K787" t="inlineStr">
        <is>
          <t xml:space="preserve">Бангладеш</t>
        </is>
      </c>
      <c r="L787" t="inlineStr">
        <is>
          <t xml:space="preserve">6211110000</t>
        </is>
      </c>
      <c r="M787" t="inlineStr">
        <is>
          <t xml:space="preserve">Декларация № ЕАЭС № BY/112 11.01. ТР017 122.01 08246, до 19.04.2028</t>
        </is>
      </c>
      <c r="N787" t="inlineStr">
        <is>
          <t xml:space="preserve">27 × 25 × 1</t>
        </is>
      </c>
      <c r="O787" t="inlineStr">
        <is>
          <t xml:space="preserve">0,2</t>
        </is>
      </c>
      <c r="P787" t="inlineStr">
        <is>
          <t xml:space="preserve">4816148131454</t>
        </is>
      </c>
      <c r="Q787" s="3" t="str">
        <f>HYPERLINK("https://modify.by/img/215457000/1.webp","фото")</f>
        <v>фото</v>
      </c>
      <c r="R787" s="3" t="str">
        <f>HYPERLINK("https://modify.by/catalog/plavki/215457000/?utm_source=price&amp;utm_medium=xlsx","открыть")</f>
        <v>открыть</v>
      </c>
    </row>
    <row r="788">
      <c r="A788" t="inlineStr">
        <is>
          <t xml:space="preserve">Мужской</t>
        </is>
      </c>
      <c r="B788" t="inlineStr">
        <is>
          <t xml:space="preserve">Плавки</t>
        </is>
      </c>
      <c r="C788" t="inlineStr">
        <is>
          <t xml:space="preserve">Шорты для плавания летние пляжные с сеткой, синий, арт. BS32M03синий,белый</t>
        </is>
      </c>
      <c r="D788" t="inlineStr">
        <is>
          <t xml:space="preserve">BS32M03синий,белый</t>
        </is>
      </c>
      <c r="E788" t="inlineStr">
        <is>
          <t xml:space="preserve">синий, белый</t>
        </is>
      </c>
      <c r="F788" t="inlineStr">
        <is>
          <t xml:space="preserve">50</t>
        </is>
      </c>
      <c r="G788">
        <v>1</v>
      </c>
      <c r="H788" s="2">
        <v>19.0</v>
      </c>
      <c r="I788" t="inlineStr">
        <is>
          <t xml:space="preserve">100% полиэстер</t>
        </is>
      </c>
      <c r="J788"/>
      <c r="K788" t="inlineStr">
        <is>
          <t xml:space="preserve">Бангладеш</t>
        </is>
      </c>
      <c r="L788" t="inlineStr">
        <is>
          <t xml:space="preserve">6211110000</t>
        </is>
      </c>
      <c r="M788" t="inlineStr">
        <is>
          <t xml:space="preserve">Декларация № ЕАЭС № BY/112 11.01. ТР017 122.01 08246, до 19.04.2028</t>
        </is>
      </c>
      <c r="N788" t="inlineStr">
        <is>
          <t xml:space="preserve">27 × 25 × 1</t>
        </is>
      </c>
      <c r="O788" t="inlineStr">
        <is>
          <t xml:space="preserve">0,2</t>
        </is>
      </c>
      <c r="P788" t="inlineStr">
        <is>
          <t xml:space="preserve">2038096203584</t>
        </is>
      </c>
      <c r="Q788" s="3" t="str">
        <f>HYPERLINK("https://modify.by/img/215457000/1.webp","фото")</f>
        <v>фото</v>
      </c>
      <c r="R788" s="3" t="str">
        <f>HYPERLINK("https://modify.by/catalog/plavki/215457000/?utm_source=price&amp;utm_medium=xlsx","открыть")</f>
        <v>открыть</v>
      </c>
    </row>
    <row r="789">
      <c r="A789" t="inlineStr">
        <is>
          <t xml:space="preserve">Мужской</t>
        </is>
      </c>
      <c r="B789" t="inlineStr">
        <is>
          <t xml:space="preserve">Плавки</t>
        </is>
      </c>
      <c r="C789" t="inlineStr">
        <is>
          <t xml:space="preserve">Шорты для плавания летние пляжные с сеткой, темно-синий</t>
        </is>
      </c>
      <c r="D789" t="inlineStr">
        <is>
          <t xml:space="preserve">BS32M03темно-синий,белый</t>
        </is>
      </c>
      <c r="E789" t="inlineStr">
        <is>
          <t xml:space="preserve">темно-синий, белый</t>
        </is>
      </c>
      <c r="F789" t="inlineStr">
        <is>
          <t xml:space="preserve">44</t>
        </is>
      </c>
      <c r="G789">
        <v>10</v>
      </c>
      <c r="H789" s="2">
        <v>19.0</v>
      </c>
      <c r="I789" t="inlineStr">
        <is>
          <t xml:space="preserve">100% полиэстер</t>
        </is>
      </c>
      <c r="J789"/>
      <c r="K789" t="inlineStr">
        <is>
          <t xml:space="preserve">Бангладеш</t>
        </is>
      </c>
      <c r="L789" t="inlineStr">
        <is>
          <t xml:space="preserve">6211110000</t>
        </is>
      </c>
      <c r="M789" t="inlineStr">
        <is>
          <t xml:space="preserve">Декларация № ЕАЭС № BY/112 11.01. ТР017 122.01 08246, до 19.04.2028</t>
        </is>
      </c>
      <c r="N789" t="inlineStr">
        <is>
          <t xml:space="preserve">31 × 31 × 1</t>
        </is>
      </c>
      <c r="O789" t="inlineStr">
        <is>
          <t xml:space="preserve">0,2</t>
        </is>
      </c>
      <c r="P789" t="inlineStr">
        <is>
          <t xml:space="preserve">2038096203508</t>
        </is>
      </c>
      <c r="Q789" s="3" t="str">
        <f>HYPERLINK("https://modify.by/img/215457022/1.webp","фото")</f>
        <v>фото</v>
      </c>
      <c r="R789" s="3" t="str">
        <f>HYPERLINK("https://modify.by/catalog/plavki/215457022/?utm_source=price&amp;utm_medium=xlsx","открыть")</f>
        <v>открыть</v>
      </c>
    </row>
    <row r="790">
      <c r="A790" t="inlineStr">
        <is>
          <t xml:space="preserve">Мужской</t>
        </is>
      </c>
      <c r="B790" t="inlineStr">
        <is>
          <t xml:space="preserve">Плавки</t>
        </is>
      </c>
      <c r="C790" t="inlineStr">
        <is>
          <t xml:space="preserve">Шорты для плавания летние пляжные с сеткой, темно-синий</t>
        </is>
      </c>
      <c r="D790" t="inlineStr">
        <is>
          <t xml:space="preserve">BS32M03темно-синий,белый</t>
        </is>
      </c>
      <c r="E790" t="inlineStr">
        <is>
          <t xml:space="preserve">темно-синий, белый</t>
        </is>
      </c>
      <c r="F790" t="inlineStr">
        <is>
          <t xml:space="preserve">44</t>
        </is>
      </c>
      <c r="G790">
        <v>10</v>
      </c>
      <c r="H790" s="2">
        <v>19.0</v>
      </c>
      <c r="I790" t="inlineStr">
        <is>
          <t xml:space="preserve">100% полиэстер</t>
        </is>
      </c>
      <c r="J790"/>
      <c r="K790" t="inlineStr">
        <is>
          <t xml:space="preserve">Бангладеш</t>
        </is>
      </c>
      <c r="L790" t="inlineStr">
        <is>
          <t xml:space="preserve">6211110000</t>
        </is>
      </c>
      <c r="M790" t="inlineStr">
        <is>
          <t xml:space="preserve">Декларация № ЕАЭС № BY/112 11.01. ТР017 122.01 08246, до 19.04.2028</t>
        </is>
      </c>
      <c r="N790" t="inlineStr">
        <is>
          <t xml:space="preserve">31 × 31 × 1</t>
        </is>
      </c>
      <c r="O790" t="inlineStr">
        <is>
          <t xml:space="preserve">0,2</t>
        </is>
      </c>
      <c r="P790" t="inlineStr">
        <is>
          <t xml:space="preserve">4816148131386</t>
        </is>
      </c>
      <c r="Q790" s="3" t="str">
        <f>HYPERLINK("https://modify.by/img/215457022/1.webp","фото")</f>
        <v>фото</v>
      </c>
      <c r="R790" s="3" t="str">
        <f>HYPERLINK("https://modify.by/catalog/plavki/215457022/?utm_source=price&amp;utm_medium=xlsx","открыть")</f>
        <v>открыть</v>
      </c>
    </row>
    <row r="791">
      <c r="A791" t="inlineStr">
        <is>
          <t xml:space="preserve">Мужской</t>
        </is>
      </c>
      <c r="B791" t="inlineStr">
        <is>
          <t xml:space="preserve">Плавки</t>
        </is>
      </c>
      <c r="C791" t="inlineStr">
        <is>
          <t xml:space="preserve">Шорты для плавания летние пляжные с сеткой, темно-синий</t>
        </is>
      </c>
      <c r="D791" t="inlineStr">
        <is>
          <t xml:space="preserve">BS32M03темно-синий,белый</t>
        </is>
      </c>
      <c r="E791" t="inlineStr">
        <is>
          <t xml:space="preserve">темно-синий, белый</t>
        </is>
      </c>
      <c r="F791" t="inlineStr">
        <is>
          <t xml:space="preserve">46</t>
        </is>
      </c>
      <c r="G791">
        <v>24</v>
      </c>
      <c r="H791" s="2">
        <v>19.0</v>
      </c>
      <c r="I791" t="inlineStr">
        <is>
          <t xml:space="preserve">100% полиэстер</t>
        </is>
      </c>
      <c r="J791"/>
      <c r="K791" t="inlineStr">
        <is>
          <t xml:space="preserve">Бангладеш</t>
        </is>
      </c>
      <c r="L791" t="inlineStr">
        <is>
          <t xml:space="preserve">6211110000</t>
        </is>
      </c>
      <c r="M791" t="inlineStr">
        <is>
          <t xml:space="preserve">Декларация № ЕАЭС № BY/112 11.01. ТР017 122.01 08246, до 19.04.2028</t>
        </is>
      </c>
      <c r="N791" t="inlineStr">
        <is>
          <t xml:space="preserve">31 × 31 × 1</t>
        </is>
      </c>
      <c r="O791" t="inlineStr">
        <is>
          <t xml:space="preserve">0,2</t>
        </is>
      </c>
      <c r="P791" t="inlineStr">
        <is>
          <t xml:space="preserve">2038096203515</t>
        </is>
      </c>
      <c r="Q791" s="3" t="str">
        <f>HYPERLINK("https://modify.by/img/215457022/1.webp","фото")</f>
        <v>фото</v>
      </c>
      <c r="R791" s="3" t="str">
        <f>HYPERLINK("https://modify.by/catalog/plavki/215457022/?utm_source=price&amp;utm_medium=xlsx","открыть")</f>
        <v>открыть</v>
      </c>
    </row>
    <row r="792">
      <c r="A792" t="inlineStr">
        <is>
          <t xml:space="preserve">Мужской</t>
        </is>
      </c>
      <c r="B792" t="inlineStr">
        <is>
          <t xml:space="preserve">Плавки</t>
        </is>
      </c>
      <c r="C792" t="inlineStr">
        <is>
          <t xml:space="preserve">Шорты для плавания летние пляжные с сеткой, темно-синий</t>
        </is>
      </c>
      <c r="D792" t="inlineStr">
        <is>
          <t xml:space="preserve">BS32M03темно-синий,белый</t>
        </is>
      </c>
      <c r="E792" t="inlineStr">
        <is>
          <t xml:space="preserve">темно-синий, белый</t>
        </is>
      </c>
      <c r="F792" t="inlineStr">
        <is>
          <t xml:space="preserve">46</t>
        </is>
      </c>
      <c r="G792">
        <v>24</v>
      </c>
      <c r="H792" s="2">
        <v>19.0</v>
      </c>
      <c r="I792" t="inlineStr">
        <is>
          <t xml:space="preserve">100% полиэстер</t>
        </is>
      </c>
      <c r="J792"/>
      <c r="K792" t="inlineStr">
        <is>
          <t xml:space="preserve">Бангладеш</t>
        </is>
      </c>
      <c r="L792" t="inlineStr">
        <is>
          <t xml:space="preserve">6211110000</t>
        </is>
      </c>
      <c r="M792" t="inlineStr">
        <is>
          <t xml:space="preserve">Декларация № ЕАЭС № BY/112 11.01. ТР017 122.01 08246, до 19.04.2028</t>
        </is>
      </c>
      <c r="N792" t="inlineStr">
        <is>
          <t xml:space="preserve">31 × 31 × 1</t>
        </is>
      </c>
      <c r="O792" t="inlineStr">
        <is>
          <t xml:space="preserve">0,2</t>
        </is>
      </c>
      <c r="P792" t="inlineStr">
        <is>
          <t xml:space="preserve">4816148131393</t>
        </is>
      </c>
      <c r="Q792" s="3" t="str">
        <f>HYPERLINK("https://modify.by/img/215457022/1.webp","фото")</f>
        <v>фото</v>
      </c>
      <c r="R792" s="3" t="str">
        <f>HYPERLINK("https://modify.by/catalog/plavki/215457022/?utm_source=price&amp;utm_medium=xlsx","открыть")</f>
        <v>открыть</v>
      </c>
    </row>
    <row r="793">
      <c r="A793" t="inlineStr">
        <is>
          <t xml:space="preserve">Мужской</t>
        </is>
      </c>
      <c r="B793" t="inlineStr">
        <is>
          <t xml:space="preserve">Плавки</t>
        </is>
      </c>
      <c r="C793" t="inlineStr">
        <is>
          <t xml:space="preserve">Шорты для плавания летние пляжные с сеткой, темно-синий</t>
        </is>
      </c>
      <c r="D793" t="inlineStr">
        <is>
          <t xml:space="preserve">BS32M03темно-синий,белый</t>
        </is>
      </c>
      <c r="E793" t="inlineStr">
        <is>
          <t xml:space="preserve">темно-синий, белый</t>
        </is>
      </c>
      <c r="F793" t="inlineStr">
        <is>
          <t xml:space="preserve">48</t>
        </is>
      </c>
      <c r="G793">
        <v>9</v>
      </c>
      <c r="H793" s="2">
        <v>19.0</v>
      </c>
      <c r="I793" t="inlineStr">
        <is>
          <t xml:space="preserve">100% полиэстер</t>
        </is>
      </c>
      <c r="J793"/>
      <c r="K793" t="inlineStr">
        <is>
          <t xml:space="preserve">Бангладеш</t>
        </is>
      </c>
      <c r="L793" t="inlineStr">
        <is>
          <t xml:space="preserve">6211110000</t>
        </is>
      </c>
      <c r="M793" t="inlineStr">
        <is>
          <t xml:space="preserve">Декларация № ЕАЭС № BY/112 11.01. ТР017 122.01 08246, до 19.04.2028</t>
        </is>
      </c>
      <c r="N793" t="inlineStr">
        <is>
          <t xml:space="preserve">31 × 31 × 1</t>
        </is>
      </c>
      <c r="O793" t="inlineStr">
        <is>
          <t xml:space="preserve">0,2</t>
        </is>
      </c>
      <c r="P793" t="inlineStr">
        <is>
          <t xml:space="preserve">2038096203522</t>
        </is>
      </c>
      <c r="Q793" s="3" t="str">
        <f>HYPERLINK("https://modify.by/img/215457022/1.webp","фото")</f>
        <v>фото</v>
      </c>
      <c r="R793" s="3" t="str">
        <f>HYPERLINK("https://modify.by/catalog/plavki/215457022/?utm_source=price&amp;utm_medium=xlsx","открыть")</f>
        <v>открыть</v>
      </c>
    </row>
    <row r="794">
      <c r="A794" t="inlineStr">
        <is>
          <t xml:space="preserve">Мужской</t>
        </is>
      </c>
      <c r="B794" t="inlineStr">
        <is>
          <t xml:space="preserve">Плавки</t>
        </is>
      </c>
      <c r="C794" t="inlineStr">
        <is>
          <t xml:space="preserve">Шорты для плавания летние пляжные с сеткой, темно-синий</t>
        </is>
      </c>
      <c r="D794" t="inlineStr">
        <is>
          <t xml:space="preserve">BS32M03темно-синий,белый</t>
        </is>
      </c>
      <c r="E794" t="inlineStr">
        <is>
          <t xml:space="preserve">темно-синий, белый</t>
        </is>
      </c>
      <c r="F794" t="inlineStr">
        <is>
          <t xml:space="preserve">48</t>
        </is>
      </c>
      <c r="G794">
        <v>9</v>
      </c>
      <c r="H794" s="2">
        <v>19.0</v>
      </c>
      <c r="I794" t="inlineStr">
        <is>
          <t xml:space="preserve">100% полиэстер</t>
        </is>
      </c>
      <c r="J794"/>
      <c r="K794" t="inlineStr">
        <is>
          <t xml:space="preserve">Бангладеш</t>
        </is>
      </c>
      <c r="L794" t="inlineStr">
        <is>
          <t xml:space="preserve">6211110000</t>
        </is>
      </c>
      <c r="M794" t="inlineStr">
        <is>
          <t xml:space="preserve">Декларация № ЕАЭС № BY/112 11.01. ТР017 122.01 08246, до 19.04.2028</t>
        </is>
      </c>
      <c r="N794" t="inlineStr">
        <is>
          <t xml:space="preserve">31 × 31 × 1</t>
        </is>
      </c>
      <c r="O794" t="inlineStr">
        <is>
          <t xml:space="preserve">0,2</t>
        </is>
      </c>
      <c r="P794" t="inlineStr">
        <is>
          <t xml:space="preserve">4816148131409</t>
        </is>
      </c>
      <c r="Q794" s="3" t="str">
        <f>HYPERLINK("https://modify.by/img/215457022/1.webp","фото")</f>
        <v>фото</v>
      </c>
      <c r="R794" s="3" t="str">
        <f>HYPERLINK("https://modify.by/catalog/plavki/215457022/?utm_source=price&amp;utm_medium=xlsx","открыть")</f>
        <v>открыть</v>
      </c>
    </row>
    <row r="795">
      <c r="A795" t="inlineStr">
        <is>
          <t xml:space="preserve">Мужской</t>
        </is>
      </c>
      <c r="B795" t="inlineStr">
        <is>
          <t xml:space="preserve">Плавки</t>
        </is>
      </c>
      <c r="C795" t="inlineStr">
        <is>
          <t xml:space="preserve">Шорты для плавания летние пляжные с сеткой, темно-синий</t>
        </is>
      </c>
      <c r="D795" t="inlineStr">
        <is>
          <t xml:space="preserve">BS32M03темно-синий,белый</t>
        </is>
      </c>
      <c r="E795" t="inlineStr">
        <is>
          <t xml:space="preserve">темно-синий, белый</t>
        </is>
      </c>
      <c r="F795" t="inlineStr">
        <is>
          <t xml:space="preserve">50</t>
        </is>
      </c>
      <c r="G795">
        <v>1</v>
      </c>
      <c r="H795" s="2">
        <v>19.0</v>
      </c>
      <c r="I795" t="inlineStr">
        <is>
          <t xml:space="preserve">100% полиэстер</t>
        </is>
      </c>
      <c r="J795"/>
      <c r="K795" t="inlineStr">
        <is>
          <t xml:space="preserve">Бангладеш</t>
        </is>
      </c>
      <c r="L795" t="inlineStr">
        <is>
          <t xml:space="preserve">6211110000</t>
        </is>
      </c>
      <c r="M795" t="inlineStr">
        <is>
          <t xml:space="preserve">Декларация № ЕАЭС № BY/112 11.01. ТР017 122.01 08246, до 19.04.2028</t>
        </is>
      </c>
      <c r="N795" t="inlineStr">
        <is>
          <t xml:space="preserve">31 × 31 × 1</t>
        </is>
      </c>
      <c r="O795" t="inlineStr">
        <is>
          <t xml:space="preserve">0,2</t>
        </is>
      </c>
      <c r="P795" t="inlineStr">
        <is>
          <t xml:space="preserve">2038096203539</t>
        </is>
      </c>
      <c r="Q795" s="3" t="str">
        <f>HYPERLINK("https://modify.by/img/215457022/1.webp","фото")</f>
        <v>фото</v>
      </c>
      <c r="R795" s="3" t="str">
        <f>HYPERLINK("https://modify.by/catalog/plavki/215457022/?utm_source=price&amp;utm_medium=xlsx","открыть")</f>
        <v>открыть</v>
      </c>
    </row>
    <row r="796">
      <c r="A796" t="inlineStr">
        <is>
          <t xml:space="preserve">Мужской</t>
        </is>
      </c>
      <c r="B796" t="inlineStr">
        <is>
          <t xml:space="preserve">Плавки</t>
        </is>
      </c>
      <c r="C796" t="inlineStr">
        <is>
          <t xml:space="preserve">Шорты для плавания летние пляжные с сеткой, фиолетовый</t>
        </is>
      </c>
      <c r="D796" t="inlineStr">
        <is>
          <t xml:space="preserve">BS32M03молочный,синий</t>
        </is>
      </c>
      <c r="E796" t="inlineStr">
        <is>
          <t xml:space="preserve">молочный, синий, фиолетовый</t>
        </is>
      </c>
      <c r="F796" t="inlineStr">
        <is>
          <t xml:space="preserve">44</t>
        </is>
      </c>
      <c r="G796">
        <v>19</v>
      </c>
      <c r="H796" s="2">
        <v>19.0</v>
      </c>
      <c r="I796" t="inlineStr">
        <is>
          <t xml:space="preserve">100% полиэстер</t>
        </is>
      </c>
      <c r="J796"/>
      <c r="K796" t="inlineStr">
        <is>
          <t xml:space="preserve">Бангладеш</t>
        </is>
      </c>
      <c r="L796" t="inlineStr">
        <is>
          <t xml:space="preserve">6211110000</t>
        </is>
      </c>
      <c r="M796" t="inlineStr">
        <is>
          <t xml:space="preserve">Декларация № ЕАЭС № BY/112 11.01. ТР017 122.01 08246, до 19.04.2028</t>
        </is>
      </c>
      <c r="N796" t="inlineStr">
        <is>
          <t xml:space="preserve">29 × 29 × 1</t>
        </is>
      </c>
      <c r="O796" t="inlineStr">
        <is>
          <t xml:space="preserve">0,2</t>
        </is>
      </c>
      <c r="P796" t="inlineStr">
        <is>
          <t xml:space="preserve">2038096204154</t>
        </is>
      </c>
      <c r="Q796" s="3" t="str">
        <f>HYPERLINK("https://modify.by/img/215457023/1.webp","фото")</f>
        <v>фото</v>
      </c>
      <c r="R796" s="3" t="str">
        <f>HYPERLINK("https://modify.by/catalog/plavki/215457023/?utm_source=price&amp;utm_medium=xlsx","открыть")</f>
        <v>открыть</v>
      </c>
    </row>
    <row r="797">
      <c r="A797" t="inlineStr">
        <is>
          <t xml:space="preserve">Мужской</t>
        </is>
      </c>
      <c r="B797" t="inlineStr">
        <is>
          <t xml:space="preserve">Плавки</t>
        </is>
      </c>
      <c r="C797" t="inlineStr">
        <is>
          <t xml:space="preserve">Шорты для плавания летние пляжные с сеткой, фиолетовый</t>
        </is>
      </c>
      <c r="D797" t="inlineStr">
        <is>
          <t xml:space="preserve">BS32M03молочный,синий</t>
        </is>
      </c>
      <c r="E797" t="inlineStr">
        <is>
          <t xml:space="preserve">молочный, синий, фиолетовый</t>
        </is>
      </c>
      <c r="F797" t="inlineStr">
        <is>
          <t xml:space="preserve">44</t>
        </is>
      </c>
      <c r="G797">
        <v>19</v>
      </c>
      <c r="H797" s="2">
        <v>19.0</v>
      </c>
      <c r="I797" t="inlineStr">
        <is>
          <t xml:space="preserve">100% полиэстер</t>
        </is>
      </c>
      <c r="J797"/>
      <c r="K797" t="inlineStr">
        <is>
          <t xml:space="preserve">Бангладеш</t>
        </is>
      </c>
      <c r="L797" t="inlineStr">
        <is>
          <t xml:space="preserve">6211110000</t>
        </is>
      </c>
      <c r="M797" t="inlineStr">
        <is>
          <t xml:space="preserve">Декларация № ЕАЭС № BY/112 11.01. ТР017 122.01 08246, до 19.04.2028</t>
        </is>
      </c>
      <c r="N797" t="inlineStr">
        <is>
          <t xml:space="preserve">29 × 29 × 1</t>
        </is>
      </c>
      <c r="O797" t="inlineStr">
        <is>
          <t xml:space="preserve">0,2</t>
        </is>
      </c>
      <c r="P797" t="inlineStr">
        <is>
          <t xml:space="preserve">4816148132031</t>
        </is>
      </c>
      <c r="Q797" s="3" t="str">
        <f>HYPERLINK("https://modify.by/img/215457023/1.webp","фото")</f>
        <v>фото</v>
      </c>
      <c r="R797" s="3" t="str">
        <f>HYPERLINK("https://modify.by/catalog/plavki/215457023/?utm_source=price&amp;utm_medium=xlsx","открыть")</f>
        <v>открыть</v>
      </c>
    </row>
    <row r="798">
      <c r="A798" t="inlineStr">
        <is>
          <t xml:space="preserve">Мужской</t>
        </is>
      </c>
      <c r="B798" t="inlineStr">
        <is>
          <t xml:space="preserve">Плавки</t>
        </is>
      </c>
      <c r="C798" t="inlineStr">
        <is>
          <t xml:space="preserve">Шорты для плавания летние пляжные с сеткой, фиолетовый</t>
        </is>
      </c>
      <c r="D798" t="inlineStr">
        <is>
          <t xml:space="preserve">BS32M03молочный,синий</t>
        </is>
      </c>
      <c r="E798" t="inlineStr">
        <is>
          <t xml:space="preserve">молочный, синий, фиолетовый</t>
        </is>
      </c>
      <c r="F798" t="inlineStr">
        <is>
          <t xml:space="preserve">46</t>
        </is>
      </c>
      <c r="G798">
        <v>19</v>
      </c>
      <c r="H798" s="2">
        <v>19.0</v>
      </c>
      <c r="I798" t="inlineStr">
        <is>
          <t xml:space="preserve">100% полиэстер</t>
        </is>
      </c>
      <c r="J798"/>
      <c r="K798" t="inlineStr">
        <is>
          <t xml:space="preserve">Бангладеш</t>
        </is>
      </c>
      <c r="L798" t="inlineStr">
        <is>
          <t xml:space="preserve">6211110000</t>
        </is>
      </c>
      <c r="M798" t="inlineStr">
        <is>
          <t xml:space="preserve">Декларация № ЕАЭС № BY/112 11.01. ТР017 122.01 08246, до 19.04.2028</t>
        </is>
      </c>
      <c r="N798" t="inlineStr">
        <is>
          <t xml:space="preserve">29 × 29 × 1</t>
        </is>
      </c>
      <c r="O798" t="inlineStr">
        <is>
          <t xml:space="preserve">0,2</t>
        </is>
      </c>
      <c r="P798" t="inlineStr">
        <is>
          <t xml:space="preserve">2038096204161</t>
        </is>
      </c>
      <c r="Q798" s="3" t="str">
        <f>HYPERLINK("https://modify.by/img/215457023/1.webp","фото")</f>
        <v>фото</v>
      </c>
      <c r="R798" s="3" t="str">
        <f>HYPERLINK("https://modify.by/catalog/plavki/215457023/?utm_source=price&amp;utm_medium=xlsx","открыть")</f>
        <v>открыть</v>
      </c>
    </row>
    <row r="799">
      <c r="A799" t="inlineStr">
        <is>
          <t xml:space="preserve">Мужской</t>
        </is>
      </c>
      <c r="B799" t="inlineStr">
        <is>
          <t xml:space="preserve">Плавки</t>
        </is>
      </c>
      <c r="C799" t="inlineStr">
        <is>
          <t xml:space="preserve">Шорты для плавания летние пляжные с сеткой, фиолетовый</t>
        </is>
      </c>
      <c r="D799" t="inlineStr">
        <is>
          <t xml:space="preserve">BS32M03молочный,синий</t>
        </is>
      </c>
      <c r="E799" t="inlineStr">
        <is>
          <t xml:space="preserve">молочный, синий, фиолетовый</t>
        </is>
      </c>
      <c r="F799" t="inlineStr">
        <is>
          <t xml:space="preserve">46</t>
        </is>
      </c>
      <c r="G799">
        <v>19</v>
      </c>
      <c r="H799" s="2">
        <v>19.0</v>
      </c>
      <c r="I799" t="inlineStr">
        <is>
          <t xml:space="preserve">100% полиэстер</t>
        </is>
      </c>
      <c r="J799"/>
      <c r="K799" t="inlineStr">
        <is>
          <t xml:space="preserve">Бангладеш</t>
        </is>
      </c>
      <c r="L799" t="inlineStr">
        <is>
          <t xml:space="preserve">6211110000</t>
        </is>
      </c>
      <c r="M799" t="inlineStr">
        <is>
          <t xml:space="preserve">Декларация № ЕАЭС № BY/112 11.01. ТР017 122.01 08246, до 19.04.2028</t>
        </is>
      </c>
      <c r="N799" t="inlineStr">
        <is>
          <t xml:space="preserve">29 × 29 × 1</t>
        </is>
      </c>
      <c r="O799" t="inlineStr">
        <is>
          <t xml:space="preserve">0,2</t>
        </is>
      </c>
      <c r="P799" t="inlineStr">
        <is>
          <t xml:space="preserve">4816148132048</t>
        </is>
      </c>
      <c r="Q799" s="3" t="str">
        <f>HYPERLINK("https://modify.by/img/215457023/1.webp","фото")</f>
        <v>фото</v>
      </c>
      <c r="R799" s="3" t="str">
        <f>HYPERLINK("https://modify.by/catalog/plavki/215457023/?utm_source=price&amp;utm_medium=xlsx","открыть")</f>
        <v>открыть</v>
      </c>
    </row>
    <row r="800">
      <c r="A800" t="inlineStr">
        <is>
          <t xml:space="preserve">Мужской</t>
        </is>
      </c>
      <c r="B800" t="inlineStr">
        <is>
          <t xml:space="preserve">Плавки</t>
        </is>
      </c>
      <c r="C800" t="inlineStr">
        <is>
          <t xml:space="preserve">Шорты для плавания летние пляжные с сеткой, фиолетовый</t>
        </is>
      </c>
      <c r="D800" t="inlineStr">
        <is>
          <t xml:space="preserve">BS32M03молочный,синий</t>
        </is>
      </c>
      <c r="E800" t="inlineStr">
        <is>
          <t xml:space="preserve">молочный, синий, фиолетовый</t>
        </is>
      </c>
      <c r="F800" t="inlineStr">
        <is>
          <t xml:space="preserve">50</t>
        </is>
      </c>
      <c r="G800">
        <v>1</v>
      </c>
      <c r="H800" s="2">
        <v>19.0</v>
      </c>
      <c r="I800" t="inlineStr">
        <is>
          <t xml:space="preserve">100% полиэстер</t>
        </is>
      </c>
      <c r="J800"/>
      <c r="K800" t="inlineStr">
        <is>
          <t xml:space="preserve">Бангладеш</t>
        </is>
      </c>
      <c r="L800" t="inlineStr">
        <is>
          <t xml:space="preserve">6211110000</t>
        </is>
      </c>
      <c r="M800" t="inlineStr">
        <is>
          <t xml:space="preserve">Декларация № ЕАЭС № BY/112 11.01. ТР017 122.01 08246, до 19.04.2028</t>
        </is>
      </c>
      <c r="N800" t="inlineStr">
        <is>
          <t xml:space="preserve">29 × 29 × 1</t>
        </is>
      </c>
      <c r="O800" t="inlineStr">
        <is>
          <t xml:space="preserve">0,2</t>
        </is>
      </c>
      <c r="P800" t="inlineStr">
        <is>
          <t xml:space="preserve">2038096204185</t>
        </is>
      </c>
      <c r="Q800" s="3" t="str">
        <f>HYPERLINK("https://modify.by/img/215457023/1.webp","фото")</f>
        <v>фото</v>
      </c>
      <c r="R800" s="3" t="str">
        <f>HYPERLINK("https://modify.by/catalog/plavki/215457023/?utm_source=price&amp;utm_medium=xlsx","открыть")</f>
        <v>открыть</v>
      </c>
    </row>
    <row r="801">
      <c r="A801" t="inlineStr">
        <is>
          <t xml:space="preserve">Мужской</t>
        </is>
      </c>
      <c r="B801" t="inlineStr">
        <is>
          <t xml:space="preserve">Плавки</t>
        </is>
      </c>
      <c r="C801" t="inlineStr">
        <is>
          <t xml:space="preserve">Шорты для плавания летние пляжные с сеткой, фиолетовый</t>
        </is>
      </c>
      <c r="D801" t="inlineStr">
        <is>
          <t xml:space="preserve">BS32M03молочный,синий</t>
        </is>
      </c>
      <c r="E801" t="inlineStr">
        <is>
          <t xml:space="preserve">молочный, синий, фиолетовый</t>
        </is>
      </c>
      <c r="F801" t="inlineStr">
        <is>
          <t xml:space="preserve">50</t>
        </is>
      </c>
      <c r="G801">
        <v>1</v>
      </c>
      <c r="H801" s="2">
        <v>19.0</v>
      </c>
      <c r="I801" t="inlineStr">
        <is>
          <t xml:space="preserve">100% полиэстер</t>
        </is>
      </c>
      <c r="J801"/>
      <c r="K801" t="inlineStr">
        <is>
          <t xml:space="preserve">Бангладеш</t>
        </is>
      </c>
      <c r="L801" t="inlineStr">
        <is>
          <t xml:space="preserve">6211110000</t>
        </is>
      </c>
      <c r="M801" t="inlineStr">
        <is>
          <t xml:space="preserve">Декларация № ЕАЭС № BY/112 11.01. ТР017 122.01 08246, до 19.04.2028</t>
        </is>
      </c>
      <c r="N801" t="inlineStr">
        <is>
          <t xml:space="preserve">29 × 29 × 1</t>
        </is>
      </c>
      <c r="O801" t="inlineStr">
        <is>
          <t xml:space="preserve">0,2</t>
        </is>
      </c>
      <c r="P801" t="inlineStr">
        <is>
          <t xml:space="preserve">4816148132062</t>
        </is>
      </c>
      <c r="Q801" s="3" t="str">
        <f>HYPERLINK("https://modify.by/img/215457023/1.webp","фото")</f>
        <v>фото</v>
      </c>
      <c r="R801" s="3" t="str">
        <f>HYPERLINK("https://modify.by/catalog/plavki/215457023/?utm_source=price&amp;utm_medium=xlsx","открыть")</f>
        <v>открыть</v>
      </c>
    </row>
    <row r="802">
      <c r="A802" t="inlineStr">
        <is>
          <t xml:space="preserve">Мужской</t>
        </is>
      </c>
      <c r="B802" t="inlineStr">
        <is>
          <t xml:space="preserve">Плавки</t>
        </is>
      </c>
      <c r="C802" t="inlineStr">
        <is>
          <t xml:space="preserve">Шорты для плавания летние пляжные с сеткой, черный</t>
        </is>
      </c>
      <c r="D802" t="inlineStr">
        <is>
          <t xml:space="preserve">BS32M03черный,хаки</t>
        </is>
      </c>
      <c r="E802" t="inlineStr">
        <is>
          <t xml:space="preserve">черный, хаки</t>
        </is>
      </c>
      <c r="F802" t="inlineStr">
        <is>
          <t xml:space="preserve">42</t>
        </is>
      </c>
      <c r="G802">
        <v>8</v>
      </c>
      <c r="H802" s="2">
        <v>19.0</v>
      </c>
      <c r="I802" t="inlineStr">
        <is>
          <t xml:space="preserve">100% полиэстер</t>
        </is>
      </c>
      <c r="J802"/>
      <c r="K802" t="inlineStr">
        <is>
          <t xml:space="preserve">Бангладеш</t>
        </is>
      </c>
      <c r="L802" t="inlineStr">
        <is>
          <t xml:space="preserve">6211110000</t>
        </is>
      </c>
      <c r="M802" t="inlineStr">
        <is>
          <t xml:space="preserve">Декларация № ЕАЭС № BY/112 11.01. ТР017 122.01 08246, до 19.04.2028</t>
        </is>
      </c>
      <c r="N802" t="inlineStr">
        <is>
          <t xml:space="preserve">27 × 25 × 1</t>
        </is>
      </c>
      <c r="O802" t="inlineStr">
        <is>
          <t xml:space="preserve">0,2</t>
        </is>
      </c>
      <c r="P802" t="inlineStr">
        <is>
          <t xml:space="preserve">2038096203942</t>
        </is>
      </c>
      <c r="Q802" s="3" t="str">
        <f>HYPERLINK("https://modify.by/img/215457016/1.webp","фото")</f>
        <v>фото</v>
      </c>
      <c r="R802" s="3" t="str">
        <f>HYPERLINK("https://modify.by/catalog/plavki/215457016/?utm_source=price&amp;utm_medium=xlsx","открыть")</f>
        <v>открыть</v>
      </c>
    </row>
    <row r="803">
      <c r="A803" t="inlineStr">
        <is>
          <t xml:space="preserve">Мужской</t>
        </is>
      </c>
      <c r="B803" t="inlineStr">
        <is>
          <t xml:space="preserve">Плавки</t>
        </is>
      </c>
      <c r="C803" t="inlineStr">
        <is>
          <t xml:space="preserve">Шорты для плавания летние пляжные с сеткой, черный</t>
        </is>
      </c>
      <c r="D803" t="inlineStr">
        <is>
          <t xml:space="preserve">BS32M03черный,хаки</t>
        </is>
      </c>
      <c r="E803" t="inlineStr">
        <is>
          <t xml:space="preserve">черный, хаки</t>
        </is>
      </c>
      <c r="F803" t="inlineStr">
        <is>
          <t xml:space="preserve">42</t>
        </is>
      </c>
      <c r="G803">
        <v>8</v>
      </c>
      <c r="H803" s="2">
        <v>19.0</v>
      </c>
      <c r="I803" t="inlineStr">
        <is>
          <t xml:space="preserve">100% полиэстер</t>
        </is>
      </c>
      <c r="J803"/>
      <c r="K803" t="inlineStr">
        <is>
          <t xml:space="preserve">Бангладеш</t>
        </is>
      </c>
      <c r="L803" t="inlineStr">
        <is>
          <t xml:space="preserve">6211110000</t>
        </is>
      </c>
      <c r="M803" t="inlineStr">
        <is>
          <t xml:space="preserve">Декларация № ЕАЭС № BY/112 11.01. ТР017 122.01 08246, до 19.04.2028</t>
        </is>
      </c>
      <c r="N803" t="inlineStr">
        <is>
          <t xml:space="preserve">27 × 25 × 1</t>
        </is>
      </c>
      <c r="O803" t="inlineStr">
        <is>
          <t xml:space="preserve">0,2</t>
        </is>
      </c>
      <c r="P803" t="inlineStr">
        <is>
          <t xml:space="preserve">4816148131829</t>
        </is>
      </c>
      <c r="Q803" s="3" t="str">
        <f>HYPERLINK("https://modify.by/img/215457016/1.webp","фото")</f>
        <v>фото</v>
      </c>
      <c r="R803" s="3" t="str">
        <f>HYPERLINK("https://modify.by/catalog/plavki/215457016/?utm_source=price&amp;utm_medium=xlsx","открыть")</f>
        <v>открыть</v>
      </c>
    </row>
    <row r="804">
      <c r="A804" t="inlineStr">
        <is>
          <t xml:space="preserve">Мужской</t>
        </is>
      </c>
      <c r="B804" t="inlineStr">
        <is>
          <t xml:space="preserve">Плавки</t>
        </is>
      </c>
      <c r="C804" t="inlineStr">
        <is>
          <t xml:space="preserve">Шорты для плавания летние пляжные с сеткой, черный</t>
        </is>
      </c>
      <c r="D804" t="inlineStr">
        <is>
          <t xml:space="preserve">BS32M03черный,хаки</t>
        </is>
      </c>
      <c r="E804" t="inlineStr">
        <is>
          <t xml:space="preserve">черный, хаки</t>
        </is>
      </c>
      <c r="F804" t="inlineStr">
        <is>
          <t xml:space="preserve">46</t>
        </is>
      </c>
      <c r="G804">
        <v>6</v>
      </c>
      <c r="H804" s="2">
        <v>19.0</v>
      </c>
      <c r="I804" t="inlineStr">
        <is>
          <t xml:space="preserve">100% полиэстер</t>
        </is>
      </c>
      <c r="J804"/>
      <c r="K804" t="inlineStr">
        <is>
          <t xml:space="preserve">Бангладеш</t>
        </is>
      </c>
      <c r="L804" t="inlineStr">
        <is>
          <t xml:space="preserve">6211110000</t>
        </is>
      </c>
      <c r="M804" t="inlineStr">
        <is>
          <t xml:space="preserve">Декларация № ЕАЭС № BY/112 11.01. ТР017 122.01 08246, до 19.04.2028</t>
        </is>
      </c>
      <c r="N804" t="inlineStr">
        <is>
          <t xml:space="preserve">27 × 25 × 1</t>
        </is>
      </c>
      <c r="O804" t="inlineStr">
        <is>
          <t xml:space="preserve">0,2</t>
        </is>
      </c>
      <c r="P804" t="inlineStr">
        <is>
          <t xml:space="preserve">2038096203966</t>
        </is>
      </c>
      <c r="Q804" s="3" t="str">
        <f>HYPERLINK("https://modify.by/img/215457016/1.webp","фото")</f>
        <v>фото</v>
      </c>
      <c r="R804" s="3" t="str">
        <f>HYPERLINK("https://modify.by/catalog/plavki/215457016/?utm_source=price&amp;utm_medium=xlsx","открыть")</f>
        <v>открыть</v>
      </c>
    </row>
    <row r="805">
      <c r="A805" t="inlineStr">
        <is>
          <t xml:space="preserve">Мужской</t>
        </is>
      </c>
      <c r="B805" t="inlineStr">
        <is>
          <t xml:space="preserve">Плавки</t>
        </is>
      </c>
      <c r="C805" t="inlineStr">
        <is>
          <t xml:space="preserve">Шорты для плавания летние пляжные с сеткой, черный</t>
        </is>
      </c>
      <c r="D805" t="inlineStr">
        <is>
          <t xml:space="preserve">BS32M03черный,хаки</t>
        </is>
      </c>
      <c r="E805" t="inlineStr">
        <is>
          <t xml:space="preserve">черный, хаки</t>
        </is>
      </c>
      <c r="F805" t="inlineStr">
        <is>
          <t xml:space="preserve">46</t>
        </is>
      </c>
      <c r="G805">
        <v>6</v>
      </c>
      <c r="H805" s="2">
        <v>19.0</v>
      </c>
      <c r="I805" t="inlineStr">
        <is>
          <t xml:space="preserve">100% полиэстер</t>
        </is>
      </c>
      <c r="J805"/>
      <c r="K805" t="inlineStr">
        <is>
          <t xml:space="preserve">Бангладеш</t>
        </is>
      </c>
      <c r="L805" t="inlineStr">
        <is>
          <t xml:space="preserve">6211110000</t>
        </is>
      </c>
      <c r="M805" t="inlineStr">
        <is>
          <t xml:space="preserve">Декларация № ЕАЭС № BY/112 11.01. ТР017 122.01 08246, до 19.04.2028</t>
        </is>
      </c>
      <c r="N805" t="inlineStr">
        <is>
          <t xml:space="preserve">27 × 25 × 1</t>
        </is>
      </c>
      <c r="O805" t="inlineStr">
        <is>
          <t xml:space="preserve">0,2</t>
        </is>
      </c>
      <c r="P805" t="inlineStr">
        <is>
          <t xml:space="preserve">4816148131843</t>
        </is>
      </c>
      <c r="Q805" s="3" t="str">
        <f>HYPERLINK("https://modify.by/img/215457016/1.webp","фото")</f>
        <v>фото</v>
      </c>
      <c r="R805" s="3" t="str">
        <f>HYPERLINK("https://modify.by/catalog/plavki/215457016/?utm_source=price&amp;utm_medium=xlsx","открыть")</f>
        <v>открыть</v>
      </c>
    </row>
    <row r="806">
      <c r="A806" t="inlineStr">
        <is>
          <t xml:space="preserve">Мужской</t>
        </is>
      </c>
      <c r="B806" t="inlineStr">
        <is>
          <t xml:space="preserve">Плавки</t>
        </is>
      </c>
      <c r="C806" t="inlineStr">
        <is>
          <t xml:space="preserve">Шорты для плавания летние пляжные с сеткой, черный</t>
        </is>
      </c>
      <c r="D806" t="inlineStr">
        <is>
          <t xml:space="preserve">BS32M03черный,хаки</t>
        </is>
      </c>
      <c r="E806" t="inlineStr">
        <is>
          <t xml:space="preserve">черный, хаки</t>
        </is>
      </c>
      <c r="F806" t="inlineStr">
        <is>
          <t xml:space="preserve">48</t>
        </is>
      </c>
      <c r="G806">
        <v>2</v>
      </c>
      <c r="H806" s="2">
        <v>19.0</v>
      </c>
      <c r="I806" t="inlineStr">
        <is>
          <t xml:space="preserve">100% полиэстер</t>
        </is>
      </c>
      <c r="J806"/>
      <c r="K806" t="inlineStr">
        <is>
          <t xml:space="preserve">Бангладеш</t>
        </is>
      </c>
      <c r="L806" t="inlineStr">
        <is>
          <t xml:space="preserve">6211110000</t>
        </is>
      </c>
      <c r="M806" t="inlineStr">
        <is>
          <t xml:space="preserve">Декларация № ЕАЭС № BY/112 11.01. ТР017 122.01 08246, до 19.04.2028</t>
        </is>
      </c>
      <c r="N806" t="inlineStr">
        <is>
          <t xml:space="preserve">27 × 25 × 1</t>
        </is>
      </c>
      <c r="O806" t="inlineStr">
        <is>
          <t xml:space="preserve">0,2</t>
        </is>
      </c>
      <c r="P806" t="inlineStr">
        <is>
          <t xml:space="preserve">2038096203973</t>
        </is>
      </c>
      <c r="Q806" s="3" t="str">
        <f>HYPERLINK("https://modify.by/img/215457016/1.webp","фото")</f>
        <v>фото</v>
      </c>
      <c r="R806" s="3" t="str">
        <f>HYPERLINK("https://modify.by/catalog/plavki/215457016/?utm_source=price&amp;utm_medium=xlsx","открыть")</f>
        <v>открыть</v>
      </c>
    </row>
    <row r="807">
      <c r="A807" t="inlineStr">
        <is>
          <t xml:space="preserve">Мужской</t>
        </is>
      </c>
      <c r="B807" t="inlineStr">
        <is>
          <t xml:space="preserve">Плавки</t>
        </is>
      </c>
      <c r="C807" t="inlineStr">
        <is>
          <t xml:space="preserve">Шорты для плавания летние пляжные с сеткой, черный</t>
        </is>
      </c>
      <c r="D807" t="inlineStr">
        <is>
          <t xml:space="preserve">BS32M03черный,хаки</t>
        </is>
      </c>
      <c r="E807" t="inlineStr">
        <is>
          <t xml:space="preserve">черный, хаки</t>
        </is>
      </c>
      <c r="F807" t="inlineStr">
        <is>
          <t xml:space="preserve">48</t>
        </is>
      </c>
      <c r="G807">
        <v>2</v>
      </c>
      <c r="H807" s="2">
        <v>19.0</v>
      </c>
      <c r="I807" t="inlineStr">
        <is>
          <t xml:space="preserve">100% полиэстер</t>
        </is>
      </c>
      <c r="J807"/>
      <c r="K807" t="inlineStr">
        <is>
          <t xml:space="preserve">Бангладеш</t>
        </is>
      </c>
      <c r="L807" t="inlineStr">
        <is>
          <t xml:space="preserve">6211110000</t>
        </is>
      </c>
      <c r="M807" t="inlineStr">
        <is>
          <t xml:space="preserve">Декларация № ЕАЭС № BY/112 11.01. ТР017 122.01 08246, до 19.04.2028</t>
        </is>
      </c>
      <c r="N807" t="inlineStr">
        <is>
          <t xml:space="preserve">27 × 25 × 1</t>
        </is>
      </c>
      <c r="O807" t="inlineStr">
        <is>
          <t xml:space="preserve">0,2</t>
        </is>
      </c>
      <c r="P807" t="inlineStr">
        <is>
          <t xml:space="preserve">4816148131850</t>
        </is>
      </c>
      <c r="Q807" s="3" t="str">
        <f>HYPERLINK("https://modify.by/img/215457016/1.webp","фото")</f>
        <v>фото</v>
      </c>
      <c r="R807" s="3" t="str">
        <f>HYPERLINK("https://modify.by/catalog/plavki/215457016/?utm_source=price&amp;utm_medium=xlsx","открыть")</f>
        <v>открыть</v>
      </c>
    </row>
    <row r="808">
      <c r="A808" t="inlineStr">
        <is>
          <t xml:space="preserve">Мужской</t>
        </is>
      </c>
      <c r="B808" t="inlineStr">
        <is>
          <t xml:space="preserve">Плавки</t>
        </is>
      </c>
      <c r="C808" t="inlineStr">
        <is>
          <t xml:space="preserve">Шорты для плавания летние пляжные с сеткой, черный</t>
        </is>
      </c>
      <c r="D808" t="inlineStr">
        <is>
          <t xml:space="preserve">BS32M03черный,хаки</t>
        </is>
      </c>
      <c r="E808" t="inlineStr">
        <is>
          <t xml:space="preserve">черный, хаки</t>
        </is>
      </c>
      <c r="F808" t="inlineStr">
        <is>
          <t xml:space="preserve">50</t>
        </is>
      </c>
      <c r="G808">
        <v>1</v>
      </c>
      <c r="H808" s="2">
        <v>19.0</v>
      </c>
      <c r="I808" t="inlineStr">
        <is>
          <t xml:space="preserve">100% полиэстер</t>
        </is>
      </c>
      <c r="J808"/>
      <c r="K808" t="inlineStr">
        <is>
          <t xml:space="preserve">Бангладеш</t>
        </is>
      </c>
      <c r="L808" t="inlineStr">
        <is>
          <t xml:space="preserve">6211110000</t>
        </is>
      </c>
      <c r="M808" t="inlineStr">
        <is>
          <t xml:space="preserve">Декларация № ЕАЭС № BY/112 11.01. ТР017 122.01 08246, до 19.04.2028</t>
        </is>
      </c>
      <c r="N808" t="inlineStr">
        <is>
          <t xml:space="preserve">27 × 25 × 1</t>
        </is>
      </c>
      <c r="O808" t="inlineStr">
        <is>
          <t xml:space="preserve">0,2</t>
        </is>
      </c>
      <c r="P808" t="inlineStr">
        <is>
          <t xml:space="preserve">2038096203980</t>
        </is>
      </c>
      <c r="Q808" s="3" t="str">
        <f>HYPERLINK("https://modify.by/img/215457016/1.webp","фото")</f>
        <v>фото</v>
      </c>
      <c r="R808" s="3" t="str">
        <f>HYPERLINK("https://modify.by/catalog/plavki/215457016/?utm_source=price&amp;utm_medium=xlsx","открыть")</f>
        <v>открыть</v>
      </c>
    </row>
    <row r="809">
      <c r="A809" t="inlineStr">
        <is>
          <t xml:space="preserve">Мужской</t>
        </is>
      </c>
      <c r="B809" t="inlineStr">
        <is>
          <t xml:space="preserve">Плавки</t>
        </is>
      </c>
      <c r="C809" t="inlineStr">
        <is>
          <t xml:space="preserve">Шорты для плавания летние пляжные с сеткой, ярко-розовый</t>
        </is>
      </c>
      <c r="D809" t="inlineStr">
        <is>
          <t xml:space="preserve">BS32M03ярко-розовый,желтый</t>
        </is>
      </c>
      <c r="E809" t="inlineStr">
        <is>
          <t xml:space="preserve">ярко-розовый, желтый, голубой, фиолетовый</t>
        </is>
      </c>
      <c r="F809" t="inlineStr">
        <is>
          <t xml:space="preserve">42</t>
        </is>
      </c>
      <c r="G809">
        <v>17</v>
      </c>
      <c r="H809" s="2">
        <v>19.0</v>
      </c>
      <c r="I809" t="inlineStr">
        <is>
          <t xml:space="preserve">100% полиэстер</t>
        </is>
      </c>
      <c r="J809"/>
      <c r="K809" t="inlineStr">
        <is>
          <t xml:space="preserve">Бангладеш</t>
        </is>
      </c>
      <c r="L809" t="inlineStr">
        <is>
          <t xml:space="preserve">6211110000</t>
        </is>
      </c>
      <c r="M809" t="inlineStr">
        <is>
          <t xml:space="preserve">Декларация № ЕАЭС № BY/112 11.01. ТР017 122.01 08246, до 19.04.2028</t>
        </is>
      </c>
      <c r="N809" t="inlineStr">
        <is>
          <t xml:space="preserve">30 × 30 × 1</t>
        </is>
      </c>
      <c r="O809" t="inlineStr">
        <is>
          <t xml:space="preserve">0,2</t>
        </is>
      </c>
      <c r="P809" t="inlineStr">
        <is>
          <t xml:space="preserve">2038096204048</t>
        </is>
      </c>
      <c r="Q809" s="3" t="str">
        <f>HYPERLINK("https://modify.by/img/215457027/1.webp","фото")</f>
        <v>фото</v>
      </c>
      <c r="R809" s="3" t="str">
        <f>HYPERLINK("https://modify.by/catalog/plavki/215457027/?utm_source=price&amp;utm_medium=xlsx","открыть")</f>
        <v>открыть</v>
      </c>
    </row>
    <row r="810">
      <c r="A810" t="inlineStr">
        <is>
          <t xml:space="preserve">Мужской</t>
        </is>
      </c>
      <c r="B810" t="inlineStr">
        <is>
          <t xml:space="preserve">Плавки</t>
        </is>
      </c>
      <c r="C810" t="inlineStr">
        <is>
          <t xml:space="preserve">Шорты для плавания летние пляжные с сеткой, ярко-розовый</t>
        </is>
      </c>
      <c r="D810" t="inlineStr">
        <is>
          <t xml:space="preserve">BS32M03ярко-розовый,желтый</t>
        </is>
      </c>
      <c r="E810" t="inlineStr">
        <is>
          <t xml:space="preserve">ярко-розовый, желтый, голубой, фиолетовый</t>
        </is>
      </c>
      <c r="F810" t="inlineStr">
        <is>
          <t xml:space="preserve">42</t>
        </is>
      </c>
      <c r="G810">
        <v>17</v>
      </c>
      <c r="H810" s="2">
        <v>19.0</v>
      </c>
      <c r="I810" t="inlineStr">
        <is>
          <t xml:space="preserve">100% полиэстер</t>
        </is>
      </c>
      <c r="J810"/>
      <c r="K810" t="inlineStr">
        <is>
          <t xml:space="preserve">Бангладеш</t>
        </is>
      </c>
      <c r="L810" t="inlineStr">
        <is>
          <t xml:space="preserve">6211110000</t>
        </is>
      </c>
      <c r="M810" t="inlineStr">
        <is>
          <t xml:space="preserve">Декларация № ЕАЭС № BY/112 11.01. ТР017 122.01 08246, до 19.04.2028</t>
        </is>
      </c>
      <c r="N810" t="inlineStr">
        <is>
          <t xml:space="preserve">30 × 30 × 1</t>
        </is>
      </c>
      <c r="O810" t="inlineStr">
        <is>
          <t xml:space="preserve">0,2</t>
        </is>
      </c>
      <c r="P810" t="inlineStr">
        <is>
          <t xml:space="preserve">4816148131928</t>
        </is>
      </c>
      <c r="Q810" s="3" t="str">
        <f>HYPERLINK("https://modify.by/img/215457027/1.webp","фото")</f>
        <v>фото</v>
      </c>
      <c r="R810" s="3" t="str">
        <f>HYPERLINK("https://modify.by/catalog/plavki/215457027/?utm_source=price&amp;utm_medium=xlsx","открыть")</f>
        <v>открыть</v>
      </c>
    </row>
    <row r="811">
      <c r="A811" t="inlineStr">
        <is>
          <t xml:space="preserve">Мужской</t>
        </is>
      </c>
      <c r="B811" t="inlineStr">
        <is>
          <t xml:space="preserve">Плавки</t>
        </is>
      </c>
      <c r="C811" t="inlineStr">
        <is>
          <t xml:space="preserve">Шорты для плавания летние пляжные с сеткой, ярко-розовый</t>
        </is>
      </c>
      <c r="D811" t="inlineStr">
        <is>
          <t xml:space="preserve">BS32M03ярко-розовый,желтый</t>
        </is>
      </c>
      <c r="E811" t="inlineStr">
        <is>
          <t xml:space="preserve">ярко-розовый, желтый, голубой, фиолетовый</t>
        </is>
      </c>
      <c r="F811" t="inlineStr">
        <is>
          <t xml:space="preserve">46</t>
        </is>
      </c>
      <c r="G811">
        <v>8</v>
      </c>
      <c r="H811" s="2">
        <v>19.0</v>
      </c>
      <c r="I811" t="inlineStr">
        <is>
          <t xml:space="preserve">100% полиэстер</t>
        </is>
      </c>
      <c r="J811"/>
      <c r="K811" t="inlineStr">
        <is>
          <t xml:space="preserve">Бангладеш</t>
        </is>
      </c>
      <c r="L811" t="inlineStr">
        <is>
          <t xml:space="preserve">6211110000</t>
        </is>
      </c>
      <c r="M811" t="inlineStr">
        <is>
          <t xml:space="preserve">Декларация № ЕАЭС № BY/112 11.01. ТР017 122.01 08246, до 19.04.2028</t>
        </is>
      </c>
      <c r="N811" t="inlineStr">
        <is>
          <t xml:space="preserve">30 × 30 × 1</t>
        </is>
      </c>
      <c r="O811" t="inlineStr">
        <is>
          <t xml:space="preserve">0,2</t>
        </is>
      </c>
      <c r="P811" t="inlineStr">
        <is>
          <t xml:space="preserve">2038096204062</t>
        </is>
      </c>
      <c r="Q811" s="3" t="str">
        <f>HYPERLINK("https://modify.by/img/215457027/1.webp","фото")</f>
        <v>фото</v>
      </c>
      <c r="R811" s="3" t="str">
        <f>HYPERLINK("https://modify.by/catalog/plavki/215457027/?utm_source=price&amp;utm_medium=xlsx","открыть")</f>
        <v>открыть</v>
      </c>
    </row>
    <row r="812">
      <c r="A812" t="inlineStr">
        <is>
          <t xml:space="preserve">Мужской</t>
        </is>
      </c>
      <c r="B812" t="inlineStr">
        <is>
          <t xml:space="preserve">Плавки</t>
        </is>
      </c>
      <c r="C812" t="inlineStr">
        <is>
          <t xml:space="preserve">Шорты для плавания летние пляжные с сеткой, ярко-розовый</t>
        </is>
      </c>
      <c r="D812" t="inlineStr">
        <is>
          <t xml:space="preserve">BS32M03ярко-розовый,желтый</t>
        </is>
      </c>
      <c r="E812" t="inlineStr">
        <is>
          <t xml:space="preserve">ярко-розовый, желтый, голубой, фиолетовый</t>
        </is>
      </c>
      <c r="F812" t="inlineStr">
        <is>
          <t xml:space="preserve">46</t>
        </is>
      </c>
      <c r="G812">
        <v>8</v>
      </c>
      <c r="H812" s="2">
        <v>19.0</v>
      </c>
      <c r="I812" t="inlineStr">
        <is>
          <t xml:space="preserve">100% полиэстер</t>
        </is>
      </c>
      <c r="J812"/>
      <c r="K812" t="inlineStr">
        <is>
          <t xml:space="preserve">Бангладеш</t>
        </is>
      </c>
      <c r="L812" t="inlineStr">
        <is>
          <t xml:space="preserve">6211110000</t>
        </is>
      </c>
      <c r="M812" t="inlineStr">
        <is>
          <t xml:space="preserve">Декларация № ЕАЭС № BY/112 11.01. ТР017 122.01 08246, до 19.04.2028</t>
        </is>
      </c>
      <c r="N812" t="inlineStr">
        <is>
          <t xml:space="preserve">30 × 30 × 1</t>
        </is>
      </c>
      <c r="O812" t="inlineStr">
        <is>
          <t xml:space="preserve">0,2</t>
        </is>
      </c>
      <c r="P812" t="inlineStr">
        <is>
          <t xml:space="preserve">4816148131942</t>
        </is>
      </c>
      <c r="Q812" s="3" t="str">
        <f>HYPERLINK("https://modify.by/img/215457027/1.webp","фото")</f>
        <v>фото</v>
      </c>
      <c r="R812" s="3" t="str">
        <f>HYPERLINK("https://modify.by/catalog/plavki/215457027/?utm_source=price&amp;utm_medium=xlsx","открыть")</f>
        <v>открыть</v>
      </c>
    </row>
    <row r="813">
      <c r="A813" t="inlineStr">
        <is>
          <t xml:space="preserve">Мужской</t>
        </is>
      </c>
      <c r="B813" t="inlineStr">
        <is>
          <t xml:space="preserve">Плавки</t>
        </is>
      </c>
      <c r="C813" t="inlineStr">
        <is>
          <t xml:space="preserve">Шорты купальные без сетки с карманами, зеленый</t>
        </is>
      </c>
      <c r="D813" t="inlineStr">
        <is>
          <t xml:space="preserve">BS32M02зеленый,белый</t>
        </is>
      </c>
      <c r="E813" t="inlineStr">
        <is>
          <t xml:space="preserve">зеленый, белый</t>
        </is>
      </c>
      <c r="F813" t="inlineStr">
        <is>
          <t xml:space="preserve">44</t>
        </is>
      </c>
      <c r="G813">
        <v>37</v>
      </c>
      <c r="H813" s="2">
        <v>22.0</v>
      </c>
      <c r="I813" t="inlineStr">
        <is>
          <t xml:space="preserve">100% полиэстер</t>
        </is>
      </c>
      <c r="J813"/>
      <c r="K813" t="inlineStr">
        <is>
          <t xml:space="preserve">Бангладеш</t>
        </is>
      </c>
      <c r="L813" t="inlineStr">
        <is>
          <t xml:space="preserve">6211110000</t>
        </is>
      </c>
      <c r="M813" t="inlineStr">
        <is>
          <t xml:space="preserve">Декларация № ЕАЭС № BY/112 11.01. ТР017 122.01 08246, до 19.04.2028</t>
        </is>
      </c>
      <c r="N813" t="inlineStr">
        <is>
          <t xml:space="preserve">35 × 30 × 2</t>
        </is>
      </c>
      <c r="O813" t="inlineStr">
        <is>
          <t xml:space="preserve">0,25</t>
        </is>
      </c>
      <c r="P813" t="inlineStr">
        <is>
          <t xml:space="preserve">2038096197906</t>
        </is>
      </c>
      <c r="Q813" s="3" t="str">
        <f>HYPERLINK("https://modify.by/img/210826897/1.webp","фото")</f>
        <v>фото</v>
      </c>
      <c r="R813" s="3" t="str">
        <f>HYPERLINK("https://modify.by/catalog/plavki/210826897/?utm_source=price&amp;utm_medium=xlsx","открыть")</f>
        <v>открыть</v>
      </c>
    </row>
    <row r="814">
      <c r="A814" t="inlineStr">
        <is>
          <t xml:space="preserve">Мужской</t>
        </is>
      </c>
      <c r="B814" t="inlineStr">
        <is>
          <t xml:space="preserve">Плавки</t>
        </is>
      </c>
      <c r="C814" t="inlineStr">
        <is>
          <t xml:space="preserve">Шорты купальные без сетки с карманами, зеленый</t>
        </is>
      </c>
      <c r="D814" t="inlineStr">
        <is>
          <t xml:space="preserve">BS32M02зеленый,белый</t>
        </is>
      </c>
      <c r="E814" t="inlineStr">
        <is>
          <t xml:space="preserve">зеленый, белый</t>
        </is>
      </c>
      <c r="F814" t="inlineStr">
        <is>
          <t xml:space="preserve">44</t>
        </is>
      </c>
      <c r="G814">
        <v>37</v>
      </c>
      <c r="H814" s="2">
        <v>22.0</v>
      </c>
      <c r="I814" t="inlineStr">
        <is>
          <t xml:space="preserve">100% полиэстер</t>
        </is>
      </c>
      <c r="J814"/>
      <c r="K814" t="inlineStr">
        <is>
          <t xml:space="preserve">Бангладеш</t>
        </is>
      </c>
      <c r="L814" t="inlineStr">
        <is>
          <t xml:space="preserve">6211110000</t>
        </is>
      </c>
      <c r="M814" t="inlineStr">
        <is>
          <t xml:space="preserve">Декларация № ЕАЭС № BY/112 11.01. ТР017 122.01 08246, до 19.04.2028</t>
        </is>
      </c>
      <c r="N814" t="inlineStr">
        <is>
          <t xml:space="preserve">35 × 30 × 2</t>
        </is>
      </c>
      <c r="O814" t="inlineStr">
        <is>
          <t xml:space="preserve">0,25</t>
        </is>
      </c>
      <c r="P814" t="inlineStr">
        <is>
          <t xml:space="preserve">4816148116758</t>
        </is>
      </c>
      <c r="Q814" s="3" t="str">
        <f>HYPERLINK("https://modify.by/img/210826897/1.webp","фото")</f>
        <v>фото</v>
      </c>
      <c r="R814" s="3" t="str">
        <f>HYPERLINK("https://modify.by/catalog/plavki/210826897/?utm_source=price&amp;utm_medium=xlsx","открыть")</f>
        <v>открыть</v>
      </c>
    </row>
    <row r="815">
      <c r="A815" t="inlineStr">
        <is>
          <t xml:space="preserve">Мужской</t>
        </is>
      </c>
      <c r="B815" t="inlineStr">
        <is>
          <t xml:space="preserve">Плавки</t>
        </is>
      </c>
      <c r="C815" t="inlineStr">
        <is>
          <t xml:space="preserve">Шорты купальные без сетки с карманами, зеленый</t>
        </is>
      </c>
      <c r="D815" t="inlineStr">
        <is>
          <t xml:space="preserve">BS32M02зеленый,белый</t>
        </is>
      </c>
      <c r="E815" t="inlineStr">
        <is>
          <t xml:space="preserve">зеленый, белый</t>
        </is>
      </c>
      <c r="F815" t="inlineStr">
        <is>
          <t xml:space="preserve">46</t>
        </is>
      </c>
      <c r="G815">
        <v>42</v>
      </c>
      <c r="H815" s="2">
        <v>22.0</v>
      </c>
      <c r="I815" t="inlineStr">
        <is>
          <t xml:space="preserve">100% полиэстер</t>
        </is>
      </c>
      <c r="J815"/>
      <c r="K815" t="inlineStr">
        <is>
          <t xml:space="preserve">Бангладеш</t>
        </is>
      </c>
      <c r="L815" t="inlineStr">
        <is>
          <t xml:space="preserve">6211110000</t>
        </is>
      </c>
      <c r="M815" t="inlineStr">
        <is>
          <t xml:space="preserve">Декларация № ЕАЭС № BY/112 11.01. ТР017 122.01 08246, до 19.04.2028</t>
        </is>
      </c>
      <c r="N815" t="inlineStr">
        <is>
          <t xml:space="preserve">35 × 30 × 2</t>
        </is>
      </c>
      <c r="O815" t="inlineStr">
        <is>
          <t xml:space="preserve">0,25</t>
        </is>
      </c>
      <c r="P815" t="inlineStr">
        <is>
          <t xml:space="preserve">2038096197913</t>
        </is>
      </c>
      <c r="Q815" s="3" t="str">
        <f>HYPERLINK("https://modify.by/img/210826897/1.webp","фото")</f>
        <v>фото</v>
      </c>
      <c r="R815" s="3" t="str">
        <f>HYPERLINK("https://modify.by/catalog/plavki/210826897/?utm_source=price&amp;utm_medium=xlsx","открыть")</f>
        <v>открыть</v>
      </c>
    </row>
    <row r="816">
      <c r="A816" t="inlineStr">
        <is>
          <t xml:space="preserve">Мужской</t>
        </is>
      </c>
      <c r="B816" t="inlineStr">
        <is>
          <t xml:space="preserve">Плавки</t>
        </is>
      </c>
      <c r="C816" t="inlineStr">
        <is>
          <t xml:space="preserve">Шорты купальные без сетки с карманами, зеленый</t>
        </is>
      </c>
      <c r="D816" t="inlineStr">
        <is>
          <t xml:space="preserve">BS32M02зеленый,белый</t>
        </is>
      </c>
      <c r="E816" t="inlineStr">
        <is>
          <t xml:space="preserve">зеленый, белый</t>
        </is>
      </c>
      <c r="F816" t="inlineStr">
        <is>
          <t xml:space="preserve">46</t>
        </is>
      </c>
      <c r="G816">
        <v>42</v>
      </c>
      <c r="H816" s="2">
        <v>22.0</v>
      </c>
      <c r="I816" t="inlineStr">
        <is>
          <t xml:space="preserve">100% полиэстер</t>
        </is>
      </c>
      <c r="J816"/>
      <c r="K816" t="inlineStr">
        <is>
          <t xml:space="preserve">Бангладеш</t>
        </is>
      </c>
      <c r="L816" t="inlineStr">
        <is>
          <t xml:space="preserve">6211110000</t>
        </is>
      </c>
      <c r="M816" t="inlineStr">
        <is>
          <t xml:space="preserve">Декларация № ЕАЭС № BY/112 11.01. ТР017 122.01 08246, до 19.04.2028</t>
        </is>
      </c>
      <c r="N816" t="inlineStr">
        <is>
          <t xml:space="preserve">35 × 30 × 2</t>
        </is>
      </c>
      <c r="O816" t="inlineStr">
        <is>
          <t xml:space="preserve">0,25</t>
        </is>
      </c>
      <c r="P816" t="inlineStr">
        <is>
          <t xml:space="preserve">4816148116765</t>
        </is>
      </c>
      <c r="Q816" s="3" t="str">
        <f>HYPERLINK("https://modify.by/img/210826897/1.webp","фото")</f>
        <v>фото</v>
      </c>
      <c r="R816" s="3" t="str">
        <f>HYPERLINK("https://modify.by/catalog/plavki/210826897/?utm_source=price&amp;utm_medium=xlsx","открыть")</f>
        <v>открыть</v>
      </c>
    </row>
    <row r="817">
      <c r="A817" t="inlineStr">
        <is>
          <t xml:space="preserve">Мужской</t>
        </is>
      </c>
      <c r="B817" t="inlineStr">
        <is>
          <t xml:space="preserve">Плавки</t>
        </is>
      </c>
      <c r="C817" t="inlineStr">
        <is>
          <t xml:space="preserve">Шорты купальные без сетки с карманами, кирпичный</t>
        </is>
      </c>
      <c r="D817" t="inlineStr">
        <is>
          <t xml:space="preserve">BS32M02кирпичный,белый</t>
        </is>
      </c>
      <c r="E817" t="inlineStr">
        <is>
          <t xml:space="preserve">кирпичный, белый, темно-красный</t>
        </is>
      </c>
      <c r="F817" t="inlineStr">
        <is>
          <t xml:space="preserve">44</t>
        </is>
      </c>
      <c r="G817">
        <v>23</v>
      </c>
      <c r="H817" s="2">
        <v>22.0</v>
      </c>
      <c r="I817" t="inlineStr">
        <is>
          <t xml:space="preserve">100% полиэстер</t>
        </is>
      </c>
      <c r="J817"/>
      <c r="K817" t="inlineStr">
        <is>
          <t xml:space="preserve">Бангладеш</t>
        </is>
      </c>
      <c r="L817" t="inlineStr">
        <is>
          <t xml:space="preserve">6211110000</t>
        </is>
      </c>
      <c r="M817" t="inlineStr">
        <is>
          <t xml:space="preserve">Декларация № ЕАЭС № BY/112 11.01. ТР017 122.01 08246, до 19.04.2028</t>
        </is>
      </c>
      <c r="N817" t="inlineStr">
        <is>
          <t xml:space="preserve">35 × 30 × 2</t>
        </is>
      </c>
      <c r="O817" t="inlineStr">
        <is>
          <t xml:space="preserve">0,25</t>
        </is>
      </c>
      <c r="P817" t="inlineStr">
        <is>
          <t xml:space="preserve">2038096197692</t>
        </is>
      </c>
      <c r="Q817" s="3" t="str">
        <f>HYPERLINK("https://modify.by/img/210826899/1.webp","фото")</f>
        <v>фото</v>
      </c>
      <c r="R817" s="3" t="str">
        <f>HYPERLINK("https://modify.by/catalog/plavki/210826899/?utm_source=price&amp;utm_medium=xlsx","открыть")</f>
        <v>открыть</v>
      </c>
    </row>
    <row r="818">
      <c r="A818" t="inlineStr">
        <is>
          <t xml:space="preserve">Мужской</t>
        </is>
      </c>
      <c r="B818" t="inlineStr">
        <is>
          <t xml:space="preserve">Плавки</t>
        </is>
      </c>
      <c r="C818" t="inlineStr">
        <is>
          <t xml:space="preserve">Шорты купальные без сетки с карманами, кирпичный</t>
        </is>
      </c>
      <c r="D818" t="inlineStr">
        <is>
          <t xml:space="preserve">BS32M02кирпичный,белый</t>
        </is>
      </c>
      <c r="E818" t="inlineStr">
        <is>
          <t xml:space="preserve">кирпичный, белый, темно-красный</t>
        </is>
      </c>
      <c r="F818" t="inlineStr">
        <is>
          <t xml:space="preserve">44</t>
        </is>
      </c>
      <c r="G818">
        <v>23</v>
      </c>
      <c r="H818" s="2">
        <v>22.0</v>
      </c>
      <c r="I818" t="inlineStr">
        <is>
          <t xml:space="preserve">100% полиэстер</t>
        </is>
      </c>
      <c r="J818"/>
      <c r="K818" t="inlineStr">
        <is>
          <t xml:space="preserve">Бангладеш</t>
        </is>
      </c>
      <c r="L818" t="inlineStr">
        <is>
          <t xml:space="preserve">6211110000</t>
        </is>
      </c>
      <c r="M818" t="inlineStr">
        <is>
          <t xml:space="preserve">Декларация № ЕАЭС № BY/112 11.01. ТР017 122.01 08246, до 19.04.2028</t>
        </is>
      </c>
      <c r="N818" t="inlineStr">
        <is>
          <t xml:space="preserve">35 × 30 × 2</t>
        </is>
      </c>
      <c r="O818" t="inlineStr">
        <is>
          <t xml:space="preserve">0,25</t>
        </is>
      </c>
      <c r="P818" t="inlineStr">
        <is>
          <t xml:space="preserve">4816148116826</t>
        </is>
      </c>
      <c r="Q818" s="3" t="str">
        <f>HYPERLINK("https://modify.by/img/210826899/1.webp","фото")</f>
        <v>фото</v>
      </c>
      <c r="R818" s="3" t="str">
        <f>HYPERLINK("https://modify.by/catalog/plavki/210826899/?utm_source=price&amp;utm_medium=xlsx","открыть")</f>
        <v>открыть</v>
      </c>
    </row>
    <row r="819">
      <c r="A819" t="inlineStr">
        <is>
          <t xml:space="preserve">Мужской</t>
        </is>
      </c>
      <c r="B819" t="inlineStr">
        <is>
          <t xml:space="preserve">Плавки</t>
        </is>
      </c>
      <c r="C819" t="inlineStr">
        <is>
          <t xml:space="preserve">Шорты купальные без сетки с карманами, кирпичный</t>
        </is>
      </c>
      <c r="D819" t="inlineStr">
        <is>
          <t xml:space="preserve">BS32M02кирпичный,белый</t>
        </is>
      </c>
      <c r="E819" t="inlineStr">
        <is>
          <t xml:space="preserve">кирпичный, белый, темно-красный</t>
        </is>
      </c>
      <c r="F819" t="inlineStr">
        <is>
          <t xml:space="preserve">46</t>
        </is>
      </c>
      <c r="G819">
        <v>45</v>
      </c>
      <c r="H819" s="2">
        <v>22.0</v>
      </c>
      <c r="I819" t="inlineStr">
        <is>
          <t xml:space="preserve">100% полиэстер</t>
        </is>
      </c>
      <c r="J819"/>
      <c r="K819" t="inlineStr">
        <is>
          <t xml:space="preserve">Бангладеш</t>
        </is>
      </c>
      <c r="L819" t="inlineStr">
        <is>
          <t xml:space="preserve">6211110000</t>
        </is>
      </c>
      <c r="M819" t="inlineStr">
        <is>
          <t xml:space="preserve">Декларация № ЕАЭС № BY/112 11.01. ТР017 122.01 08246, до 19.04.2028</t>
        </is>
      </c>
      <c r="N819" t="inlineStr">
        <is>
          <t xml:space="preserve">35 × 30 × 2</t>
        </is>
      </c>
      <c r="O819" t="inlineStr">
        <is>
          <t xml:space="preserve">0,25</t>
        </is>
      </c>
      <c r="P819" t="inlineStr">
        <is>
          <t xml:space="preserve">2038096197708</t>
        </is>
      </c>
      <c r="Q819" s="3" t="str">
        <f>HYPERLINK("https://modify.by/img/210826899/1.webp","фото")</f>
        <v>фото</v>
      </c>
      <c r="R819" s="3" t="str">
        <f>HYPERLINK("https://modify.by/catalog/plavki/210826899/?utm_source=price&amp;utm_medium=xlsx","открыть")</f>
        <v>открыть</v>
      </c>
    </row>
    <row r="820">
      <c r="A820" t="inlineStr">
        <is>
          <t xml:space="preserve">Мужской</t>
        </is>
      </c>
      <c r="B820" t="inlineStr">
        <is>
          <t xml:space="preserve">Плавки</t>
        </is>
      </c>
      <c r="C820" t="inlineStr">
        <is>
          <t xml:space="preserve">Шорты купальные без сетки с карманами, кирпичный</t>
        </is>
      </c>
      <c r="D820" t="inlineStr">
        <is>
          <t xml:space="preserve">BS32M02кирпичный,белый</t>
        </is>
      </c>
      <c r="E820" t="inlineStr">
        <is>
          <t xml:space="preserve">кирпичный, белый, темно-красный</t>
        </is>
      </c>
      <c r="F820" t="inlineStr">
        <is>
          <t xml:space="preserve">46</t>
        </is>
      </c>
      <c r="G820">
        <v>45</v>
      </c>
      <c r="H820" s="2">
        <v>22.0</v>
      </c>
      <c r="I820" t="inlineStr">
        <is>
          <t xml:space="preserve">100% полиэстер</t>
        </is>
      </c>
      <c r="J820"/>
      <c r="K820" t="inlineStr">
        <is>
          <t xml:space="preserve">Бангладеш</t>
        </is>
      </c>
      <c r="L820" t="inlineStr">
        <is>
          <t xml:space="preserve">6211110000</t>
        </is>
      </c>
      <c r="M820" t="inlineStr">
        <is>
          <t xml:space="preserve">Декларация № ЕАЭС № BY/112 11.01. ТР017 122.01 08246, до 19.04.2028</t>
        </is>
      </c>
      <c r="N820" t="inlineStr">
        <is>
          <t xml:space="preserve">35 × 30 × 2</t>
        </is>
      </c>
      <c r="O820" t="inlineStr">
        <is>
          <t xml:space="preserve">0,25</t>
        </is>
      </c>
      <c r="P820" t="inlineStr">
        <is>
          <t xml:space="preserve">4816148116833</t>
        </is>
      </c>
      <c r="Q820" s="3" t="str">
        <f>HYPERLINK("https://modify.by/img/210826899/1.webp","фото")</f>
        <v>фото</v>
      </c>
      <c r="R820" s="3" t="str">
        <f>HYPERLINK("https://modify.by/catalog/plavki/210826899/?utm_source=price&amp;utm_medium=xlsx","открыть")</f>
        <v>открыть</v>
      </c>
    </row>
    <row r="821">
      <c r="A821" t="inlineStr">
        <is>
          <t xml:space="preserve">Мужской</t>
        </is>
      </c>
      <c r="B821" t="inlineStr">
        <is>
          <t xml:space="preserve">Плавки</t>
        </is>
      </c>
      <c r="C821" t="inlineStr">
        <is>
          <t xml:space="preserve">Шорты купальные без сетки с карманами, серо-голубой</t>
        </is>
      </c>
      <c r="D821" t="inlineStr">
        <is>
          <t xml:space="preserve">BS32M02серо-голубой,белый</t>
        </is>
      </c>
      <c r="E821" t="inlineStr">
        <is>
          <t xml:space="preserve">серо-голубой, белый</t>
        </is>
      </c>
      <c r="F821" t="inlineStr">
        <is>
          <t xml:space="preserve">44</t>
        </is>
      </c>
      <c r="G821">
        <v>38</v>
      </c>
      <c r="H821" s="2">
        <v>22.0</v>
      </c>
      <c r="I821" t="inlineStr">
        <is>
          <t xml:space="preserve">100% полиэстер</t>
        </is>
      </c>
      <c r="J821"/>
      <c r="K821" t="inlineStr">
        <is>
          <t xml:space="preserve">Бангладеш</t>
        </is>
      </c>
      <c r="L821" t="inlineStr">
        <is>
          <t xml:space="preserve">6211110000</t>
        </is>
      </c>
      <c r="M821" t="inlineStr">
        <is>
          <t xml:space="preserve">Декларация № ЕАЭС № BY/112 11.01. ТР017 122.01 08246, до 19.04.2028</t>
        </is>
      </c>
      <c r="N821" t="inlineStr">
        <is>
          <t xml:space="preserve">35 × 30 × 2</t>
        </is>
      </c>
      <c r="O821" t="inlineStr">
        <is>
          <t xml:space="preserve">0,25</t>
        </is>
      </c>
      <c r="P821" t="inlineStr">
        <is>
          <t xml:space="preserve">2038096197838</t>
        </is>
      </c>
      <c r="Q821" s="3" t="str">
        <f>HYPERLINK("https://modify.by/img/210826901/1.webp","фото")</f>
        <v>фото</v>
      </c>
      <c r="R821" s="3" t="str">
        <f>HYPERLINK("https://modify.by/catalog/plavki/210826901/?utm_source=price&amp;utm_medium=xlsx","открыть")</f>
        <v>открыть</v>
      </c>
    </row>
    <row r="822">
      <c r="A822" t="inlineStr">
        <is>
          <t xml:space="preserve">Мужской</t>
        </is>
      </c>
      <c r="B822" t="inlineStr">
        <is>
          <t xml:space="preserve">Плавки</t>
        </is>
      </c>
      <c r="C822" t="inlineStr">
        <is>
          <t xml:space="preserve">Шорты купальные без сетки с карманами, серо-голубой</t>
        </is>
      </c>
      <c r="D822" t="inlineStr">
        <is>
          <t xml:space="preserve">BS32M02серо-голубой,белый</t>
        </is>
      </c>
      <c r="E822" t="inlineStr">
        <is>
          <t xml:space="preserve">серо-голубой, белый</t>
        </is>
      </c>
      <c r="F822" t="inlineStr">
        <is>
          <t xml:space="preserve">44</t>
        </is>
      </c>
      <c r="G822">
        <v>38</v>
      </c>
      <c r="H822" s="2">
        <v>22.0</v>
      </c>
      <c r="I822" t="inlineStr">
        <is>
          <t xml:space="preserve">100% полиэстер</t>
        </is>
      </c>
      <c r="J822"/>
      <c r="K822" t="inlineStr">
        <is>
          <t xml:space="preserve">Бангладеш</t>
        </is>
      </c>
      <c r="L822" t="inlineStr">
        <is>
          <t xml:space="preserve">6211110000</t>
        </is>
      </c>
      <c r="M822" t="inlineStr">
        <is>
          <t xml:space="preserve">Декларация № ЕАЭС № BY/112 11.01. ТР017 122.01 08246, до 19.04.2028</t>
        </is>
      </c>
      <c r="N822" t="inlineStr">
        <is>
          <t xml:space="preserve">35 × 30 × 2</t>
        </is>
      </c>
      <c r="O822" t="inlineStr">
        <is>
          <t xml:space="preserve">0,25</t>
        </is>
      </c>
      <c r="P822" t="inlineStr">
        <is>
          <t xml:space="preserve">4816148116888</t>
        </is>
      </c>
      <c r="Q822" s="3" t="str">
        <f>HYPERLINK("https://modify.by/img/210826901/1.webp","фото")</f>
        <v>фото</v>
      </c>
      <c r="R822" s="3" t="str">
        <f>HYPERLINK("https://modify.by/catalog/plavki/210826901/?utm_source=price&amp;utm_medium=xlsx","открыть")</f>
        <v>открыть</v>
      </c>
    </row>
    <row r="823">
      <c r="A823" t="inlineStr">
        <is>
          <t xml:space="preserve">Мужской</t>
        </is>
      </c>
      <c r="B823" t="inlineStr">
        <is>
          <t xml:space="preserve">Плавки</t>
        </is>
      </c>
      <c r="C823" t="inlineStr">
        <is>
          <t xml:space="preserve">Шорты купальные без сетки с карманами, серо-голубой</t>
        </is>
      </c>
      <c r="D823" t="inlineStr">
        <is>
          <t xml:space="preserve">BS32M02серо-голубой,белый</t>
        </is>
      </c>
      <c r="E823" t="inlineStr">
        <is>
          <t xml:space="preserve">серо-голубой, белый</t>
        </is>
      </c>
      <c r="F823" t="inlineStr">
        <is>
          <t xml:space="preserve">46</t>
        </is>
      </c>
      <c r="G823">
        <v>49</v>
      </c>
      <c r="H823" s="2">
        <v>22.0</v>
      </c>
      <c r="I823" t="inlineStr">
        <is>
          <t xml:space="preserve">100% полиэстер</t>
        </is>
      </c>
      <c r="J823"/>
      <c r="K823" t="inlineStr">
        <is>
          <t xml:space="preserve">Бангладеш</t>
        </is>
      </c>
      <c r="L823" t="inlineStr">
        <is>
          <t xml:space="preserve">6211110000</t>
        </is>
      </c>
      <c r="M823" t="inlineStr">
        <is>
          <t xml:space="preserve">Декларация № ЕАЭС № BY/112 11.01. ТР017 122.01 08246, до 19.04.2028</t>
        </is>
      </c>
      <c r="N823" t="inlineStr">
        <is>
          <t xml:space="preserve">35 × 30 × 2</t>
        </is>
      </c>
      <c r="O823" t="inlineStr">
        <is>
          <t xml:space="preserve">0,25</t>
        </is>
      </c>
      <c r="P823" t="inlineStr">
        <is>
          <t xml:space="preserve">2038096197845</t>
        </is>
      </c>
      <c r="Q823" s="3" t="str">
        <f>HYPERLINK("https://modify.by/img/210826901/1.webp","фото")</f>
        <v>фото</v>
      </c>
      <c r="R823" s="3" t="str">
        <f>HYPERLINK("https://modify.by/catalog/plavki/210826901/?utm_source=price&amp;utm_medium=xlsx","открыть")</f>
        <v>открыть</v>
      </c>
    </row>
    <row r="824">
      <c r="A824" t="inlineStr">
        <is>
          <t xml:space="preserve">Мужской</t>
        </is>
      </c>
      <c r="B824" t="inlineStr">
        <is>
          <t xml:space="preserve">Плавки</t>
        </is>
      </c>
      <c r="C824" t="inlineStr">
        <is>
          <t xml:space="preserve">Шорты купальные без сетки с карманами, серо-голубой</t>
        </is>
      </c>
      <c r="D824" t="inlineStr">
        <is>
          <t xml:space="preserve">BS32M02серо-голубой,белый</t>
        </is>
      </c>
      <c r="E824" t="inlineStr">
        <is>
          <t xml:space="preserve">серо-голубой, белый</t>
        </is>
      </c>
      <c r="F824" t="inlineStr">
        <is>
          <t xml:space="preserve">46</t>
        </is>
      </c>
      <c r="G824">
        <v>49</v>
      </c>
      <c r="H824" s="2">
        <v>22.0</v>
      </c>
      <c r="I824" t="inlineStr">
        <is>
          <t xml:space="preserve">100% полиэстер</t>
        </is>
      </c>
      <c r="J824"/>
      <c r="K824" t="inlineStr">
        <is>
          <t xml:space="preserve">Бангладеш</t>
        </is>
      </c>
      <c r="L824" t="inlineStr">
        <is>
          <t xml:space="preserve">6211110000</t>
        </is>
      </c>
      <c r="M824" t="inlineStr">
        <is>
          <t xml:space="preserve">Декларация № ЕАЭС № BY/112 11.01. ТР017 122.01 08246, до 19.04.2028</t>
        </is>
      </c>
      <c r="N824" t="inlineStr">
        <is>
          <t xml:space="preserve">35 × 30 × 2</t>
        </is>
      </c>
      <c r="O824" t="inlineStr">
        <is>
          <t xml:space="preserve">0,25</t>
        </is>
      </c>
      <c r="P824" t="inlineStr">
        <is>
          <t xml:space="preserve">4816148116895</t>
        </is>
      </c>
      <c r="Q824" s="3" t="str">
        <f>HYPERLINK("https://modify.by/img/210826901/1.webp","фото")</f>
        <v>фото</v>
      </c>
      <c r="R824" s="3" t="str">
        <f>HYPERLINK("https://modify.by/catalog/plavki/210826901/?utm_source=price&amp;utm_medium=xlsx","открыть")</f>
        <v>открыть</v>
      </c>
    </row>
    <row r="825">
      <c r="A825" t="inlineStr">
        <is>
          <t xml:space="preserve">Мужской</t>
        </is>
      </c>
      <c r="B825" t="inlineStr">
        <is>
          <t xml:space="preserve">Плавки</t>
        </is>
      </c>
      <c r="C825" t="inlineStr">
        <is>
          <t xml:space="preserve">Шорты купальные без сетки с карманами, серо-голубой</t>
        </is>
      </c>
      <c r="D825" t="inlineStr">
        <is>
          <t xml:space="preserve">BS32M02серо-голубой,белый</t>
        </is>
      </c>
      <c r="E825" t="inlineStr">
        <is>
          <t xml:space="preserve">серо-голубой, белый</t>
        </is>
      </c>
      <c r="F825" t="inlineStr">
        <is>
          <t xml:space="preserve">48</t>
        </is>
      </c>
      <c r="G825">
        <v>30</v>
      </c>
      <c r="H825" s="2">
        <v>22.0</v>
      </c>
      <c r="I825" t="inlineStr">
        <is>
          <t xml:space="preserve">100% полиэстер</t>
        </is>
      </c>
      <c r="J825"/>
      <c r="K825" t="inlineStr">
        <is>
          <t xml:space="preserve">Бангладеш</t>
        </is>
      </c>
      <c r="L825" t="inlineStr">
        <is>
          <t xml:space="preserve">6211110000</t>
        </is>
      </c>
      <c r="M825" t="inlineStr">
        <is>
          <t xml:space="preserve">Декларация № ЕАЭС № BY/112 11.01. ТР017 122.01 08246, до 19.04.2028</t>
        </is>
      </c>
      <c r="N825" t="inlineStr">
        <is>
          <t xml:space="preserve">35 × 30 × 2</t>
        </is>
      </c>
      <c r="O825" t="inlineStr">
        <is>
          <t xml:space="preserve">0,25</t>
        </is>
      </c>
      <c r="P825" t="inlineStr">
        <is>
          <t xml:space="preserve">2038096197852</t>
        </is>
      </c>
      <c r="Q825" s="3" t="str">
        <f>HYPERLINK("https://modify.by/img/210826901/1.webp","фото")</f>
        <v>фото</v>
      </c>
      <c r="R825" s="3" t="str">
        <f>HYPERLINK("https://modify.by/catalog/plavki/210826901/?utm_source=price&amp;utm_medium=xlsx","открыть")</f>
        <v>открыть</v>
      </c>
    </row>
    <row r="826">
      <c r="A826" t="inlineStr">
        <is>
          <t xml:space="preserve">Мужской</t>
        </is>
      </c>
      <c r="B826" t="inlineStr">
        <is>
          <t xml:space="preserve">Плавки</t>
        </is>
      </c>
      <c r="C826" t="inlineStr">
        <is>
          <t xml:space="preserve">Шорты купальные без сетки с карманами, серо-голубой</t>
        </is>
      </c>
      <c r="D826" t="inlineStr">
        <is>
          <t xml:space="preserve">BS32M02серо-голубой,белый</t>
        </is>
      </c>
      <c r="E826" t="inlineStr">
        <is>
          <t xml:space="preserve">серо-голубой, белый</t>
        </is>
      </c>
      <c r="F826" t="inlineStr">
        <is>
          <t xml:space="preserve">48</t>
        </is>
      </c>
      <c r="G826">
        <v>30</v>
      </c>
      <c r="H826" s="2">
        <v>22.0</v>
      </c>
      <c r="I826" t="inlineStr">
        <is>
          <t xml:space="preserve">100% полиэстер</t>
        </is>
      </c>
      <c r="J826"/>
      <c r="K826" t="inlineStr">
        <is>
          <t xml:space="preserve">Бангладеш</t>
        </is>
      </c>
      <c r="L826" t="inlineStr">
        <is>
          <t xml:space="preserve">6211110000</t>
        </is>
      </c>
      <c r="M826" t="inlineStr">
        <is>
          <t xml:space="preserve">Декларация № ЕАЭС № BY/112 11.01. ТР017 122.01 08246, до 19.04.2028</t>
        </is>
      </c>
      <c r="N826" t="inlineStr">
        <is>
          <t xml:space="preserve">35 × 30 × 2</t>
        </is>
      </c>
      <c r="O826" t="inlineStr">
        <is>
          <t xml:space="preserve">0,25</t>
        </is>
      </c>
      <c r="P826" t="inlineStr">
        <is>
          <t xml:space="preserve">4816148116901</t>
        </is>
      </c>
      <c r="Q826" s="3" t="str">
        <f>HYPERLINK("https://modify.by/img/210826901/1.webp","фото")</f>
        <v>фото</v>
      </c>
      <c r="R826" s="3" t="str">
        <f>HYPERLINK("https://modify.by/catalog/plavki/210826901/?utm_source=price&amp;utm_medium=xlsx","открыть")</f>
        <v>открыть</v>
      </c>
    </row>
    <row r="827">
      <c r="A827" t="inlineStr">
        <is>
          <t xml:space="preserve">Мужской</t>
        </is>
      </c>
      <c r="B827" t="inlineStr">
        <is>
          <t xml:space="preserve">Плавки</t>
        </is>
      </c>
      <c r="C827" t="inlineStr">
        <is>
          <t xml:space="preserve">Шорты купальные без сетки с карманами, серо-голубой</t>
        </is>
      </c>
      <c r="D827" t="inlineStr">
        <is>
          <t xml:space="preserve">BS32M02серо-голубой,белый</t>
        </is>
      </c>
      <c r="E827" t="inlineStr">
        <is>
          <t xml:space="preserve">серо-голубой, белый</t>
        </is>
      </c>
      <c r="F827" t="inlineStr">
        <is>
          <t xml:space="preserve">50</t>
        </is>
      </c>
      <c r="G827">
        <v>17</v>
      </c>
      <c r="H827" s="2">
        <v>22.0</v>
      </c>
      <c r="I827" t="inlineStr">
        <is>
          <t xml:space="preserve">100% полиэстер</t>
        </is>
      </c>
      <c r="J827"/>
      <c r="K827" t="inlineStr">
        <is>
          <t xml:space="preserve">Бангладеш</t>
        </is>
      </c>
      <c r="L827" t="inlineStr">
        <is>
          <t xml:space="preserve">6211110000</t>
        </is>
      </c>
      <c r="M827" t="inlineStr">
        <is>
          <t xml:space="preserve">Декларация № ЕАЭС № BY/112 11.01. ТР017 122.01 08246, до 19.04.2028</t>
        </is>
      </c>
      <c r="N827" t="inlineStr">
        <is>
          <t xml:space="preserve">35 × 30 × 2</t>
        </is>
      </c>
      <c r="O827" t="inlineStr">
        <is>
          <t xml:space="preserve">0,25</t>
        </is>
      </c>
      <c r="P827" t="inlineStr">
        <is>
          <t xml:space="preserve">2038096197869</t>
        </is>
      </c>
      <c r="Q827" s="3" t="str">
        <f>HYPERLINK("https://modify.by/img/210826901/1.webp","фото")</f>
        <v>фото</v>
      </c>
      <c r="R827" s="3" t="str">
        <f>HYPERLINK("https://modify.by/catalog/plavki/210826901/?utm_source=price&amp;utm_medium=xlsx","открыть")</f>
        <v>открыть</v>
      </c>
    </row>
    <row r="828">
      <c r="A828" t="inlineStr">
        <is>
          <t xml:space="preserve">Мужской</t>
        </is>
      </c>
      <c r="B828" t="inlineStr">
        <is>
          <t xml:space="preserve">Плавки</t>
        </is>
      </c>
      <c r="C828" t="inlineStr">
        <is>
          <t xml:space="preserve">Шорты купальные без сетки с карманами, серо-голубой</t>
        </is>
      </c>
      <c r="D828" t="inlineStr">
        <is>
          <t xml:space="preserve">BS32M02серо-голубой,белый</t>
        </is>
      </c>
      <c r="E828" t="inlineStr">
        <is>
          <t xml:space="preserve">серо-голубой, белый</t>
        </is>
      </c>
      <c r="F828" t="inlineStr">
        <is>
          <t xml:space="preserve">50</t>
        </is>
      </c>
      <c r="G828">
        <v>17</v>
      </c>
      <c r="H828" s="2">
        <v>22.0</v>
      </c>
      <c r="I828" t="inlineStr">
        <is>
          <t xml:space="preserve">100% полиэстер</t>
        </is>
      </c>
      <c r="J828"/>
      <c r="K828" t="inlineStr">
        <is>
          <t xml:space="preserve">Бангладеш</t>
        </is>
      </c>
      <c r="L828" t="inlineStr">
        <is>
          <t xml:space="preserve">6211110000</t>
        </is>
      </c>
      <c r="M828" t="inlineStr">
        <is>
          <t xml:space="preserve">Декларация № ЕАЭС № BY/112 11.01. ТР017 122.01 08246, до 19.04.2028</t>
        </is>
      </c>
      <c r="N828" t="inlineStr">
        <is>
          <t xml:space="preserve">35 × 30 × 2</t>
        </is>
      </c>
      <c r="O828" t="inlineStr">
        <is>
          <t xml:space="preserve">0,25</t>
        </is>
      </c>
      <c r="P828" t="inlineStr">
        <is>
          <t xml:space="preserve">4816148116918</t>
        </is>
      </c>
      <c r="Q828" s="3" t="str">
        <f>HYPERLINK("https://modify.by/img/210826901/1.webp","фото")</f>
        <v>фото</v>
      </c>
      <c r="R828" s="3" t="str">
        <f>HYPERLINK("https://modify.by/catalog/plavki/210826901/?utm_source=price&amp;utm_medium=xlsx","открыть")</f>
        <v>открыть</v>
      </c>
    </row>
    <row r="829">
      <c r="A829" t="inlineStr">
        <is>
          <t xml:space="preserve">Мужской</t>
        </is>
      </c>
      <c r="B829" t="inlineStr">
        <is>
          <t xml:space="preserve">Плавки</t>
        </is>
      </c>
      <c r="C829" t="inlineStr">
        <is>
          <t xml:space="preserve">плавательные шорты летние на завязке</t>
        </is>
      </c>
      <c r="D829" t="inlineStr">
        <is>
          <t xml:space="preserve">BS32M03васильковый,зеленый</t>
        </is>
      </c>
      <c r="E829" t="inlineStr">
        <is>
          <t xml:space="preserve">васильковый, зеленый, синий</t>
        </is>
      </c>
      <c r="F829" t="inlineStr">
        <is>
          <t xml:space="preserve">46</t>
        </is>
      </c>
      <c r="G829">
        <v>7</v>
      </c>
      <c r="H829" s="2">
        <v>19.0</v>
      </c>
      <c r="I829" t="inlineStr">
        <is>
          <t xml:space="preserve">100% полиэстер</t>
        </is>
      </c>
      <c r="J829"/>
      <c r="K829" t="inlineStr">
        <is>
          <t xml:space="preserve">Бангладеш</t>
        </is>
      </c>
      <c r="L829" t="inlineStr">
        <is>
          <t xml:space="preserve">6211110000</t>
        </is>
      </c>
      <c r="M829" t="inlineStr">
        <is>
          <t xml:space="preserve">Декларация № ЕАЭС № BY/112 11.01. ТР017 122.01 08246, до 19.04.2028</t>
        </is>
      </c>
      <c r="N829" t="inlineStr">
        <is>
          <t xml:space="preserve">27 × 25 × 1</t>
        </is>
      </c>
      <c r="O829" t="inlineStr">
        <is>
          <t xml:space="preserve">0,2</t>
        </is>
      </c>
      <c r="P829" t="inlineStr">
        <is>
          <t xml:space="preserve">2038096204017</t>
        </is>
      </c>
      <c r="Q829" s="3" t="str">
        <f>HYPERLINK("https://modify.by/img/215457019/1.webp","фото")</f>
        <v>фото</v>
      </c>
      <c r="R829" s="3" t="str">
        <f>HYPERLINK("https://modify.by/catalog/plavki/215457019/?utm_source=price&amp;utm_medium=xlsx","открыть")</f>
        <v>открыть</v>
      </c>
    </row>
    <row r="830">
      <c r="A830" t="inlineStr">
        <is>
          <t xml:space="preserve">Мужской</t>
        </is>
      </c>
      <c r="B830" t="inlineStr">
        <is>
          <t xml:space="preserve">Плавки</t>
        </is>
      </c>
      <c r="C830" t="inlineStr">
        <is>
          <t xml:space="preserve">плавательные шорты летние на завязке</t>
        </is>
      </c>
      <c r="D830" t="inlineStr">
        <is>
          <t xml:space="preserve">BS32M03васильковый,зеленый</t>
        </is>
      </c>
      <c r="E830" t="inlineStr">
        <is>
          <t xml:space="preserve">васильковый, зеленый, синий</t>
        </is>
      </c>
      <c r="F830" t="inlineStr">
        <is>
          <t xml:space="preserve">46</t>
        </is>
      </c>
      <c r="G830">
        <v>7</v>
      </c>
      <c r="H830" s="2">
        <v>19.0</v>
      </c>
      <c r="I830" t="inlineStr">
        <is>
          <t xml:space="preserve">100% полиэстер</t>
        </is>
      </c>
      <c r="J830"/>
      <c r="K830" t="inlineStr">
        <is>
          <t xml:space="preserve">Бангладеш</t>
        </is>
      </c>
      <c r="L830" t="inlineStr">
        <is>
          <t xml:space="preserve">6211110000</t>
        </is>
      </c>
      <c r="M830" t="inlineStr">
        <is>
          <t xml:space="preserve">Декларация № ЕАЭС № BY/112 11.01. ТР017 122.01 08246, до 19.04.2028</t>
        </is>
      </c>
      <c r="N830" t="inlineStr">
        <is>
          <t xml:space="preserve">27 × 25 × 1</t>
        </is>
      </c>
      <c r="O830" t="inlineStr">
        <is>
          <t xml:space="preserve">0,2</t>
        </is>
      </c>
      <c r="P830" t="inlineStr">
        <is>
          <t xml:space="preserve">4816148131898</t>
        </is>
      </c>
      <c r="Q830" s="3" t="str">
        <f>HYPERLINK("https://modify.by/img/215457019/1.webp","фото")</f>
        <v>фото</v>
      </c>
      <c r="R830" s="3" t="str">
        <f>HYPERLINK("https://modify.by/catalog/plavki/215457019/?utm_source=price&amp;utm_medium=xlsx","открыть")</f>
        <v>открыть</v>
      </c>
    </row>
    <row r="831">
      <c r="A831" t="inlineStr">
        <is>
          <t xml:space="preserve">Мужской</t>
        </is>
      </c>
      <c r="B831" t="inlineStr">
        <is>
          <t xml:space="preserve">Плавки</t>
        </is>
      </c>
      <c r="C831" t="inlineStr">
        <is>
          <t xml:space="preserve">плавательные шорты летние на завязке</t>
        </is>
      </c>
      <c r="D831" t="inlineStr">
        <is>
          <t xml:space="preserve">BS32M03васильковый,зеленый</t>
        </is>
      </c>
      <c r="E831" t="inlineStr">
        <is>
          <t xml:space="preserve">васильковый, зеленый, синий</t>
        </is>
      </c>
      <c r="F831" t="inlineStr">
        <is>
          <t xml:space="preserve">48</t>
        </is>
      </c>
      <c r="G831">
        <v>12</v>
      </c>
      <c r="H831" s="2">
        <v>19.0</v>
      </c>
      <c r="I831" t="inlineStr">
        <is>
          <t xml:space="preserve">100% полиэстер</t>
        </is>
      </c>
      <c r="J831"/>
      <c r="K831" t="inlineStr">
        <is>
          <t xml:space="preserve">Бангладеш</t>
        </is>
      </c>
      <c r="L831" t="inlineStr">
        <is>
          <t xml:space="preserve">6211110000</t>
        </is>
      </c>
      <c r="M831" t="inlineStr">
        <is>
          <t xml:space="preserve">Декларация № ЕАЭС № BY/112 11.01. ТР017 122.01 08246, до 19.04.2028</t>
        </is>
      </c>
      <c r="N831" t="inlineStr">
        <is>
          <t xml:space="preserve">27 × 25 × 1</t>
        </is>
      </c>
      <c r="O831" t="inlineStr">
        <is>
          <t xml:space="preserve">0,2</t>
        </is>
      </c>
      <c r="P831" t="inlineStr">
        <is>
          <t xml:space="preserve">2038096204024</t>
        </is>
      </c>
      <c r="Q831" s="3" t="str">
        <f>HYPERLINK("https://modify.by/img/215457019/1.webp","фото")</f>
        <v>фото</v>
      </c>
      <c r="R831" s="3" t="str">
        <f>HYPERLINK("https://modify.by/catalog/plavki/215457019/?utm_source=price&amp;utm_medium=xlsx","открыть")</f>
        <v>открыть</v>
      </c>
    </row>
    <row r="832">
      <c r="A832" t="inlineStr">
        <is>
          <t xml:space="preserve">Мужской</t>
        </is>
      </c>
      <c r="B832" t="inlineStr">
        <is>
          <t xml:space="preserve">Плавки</t>
        </is>
      </c>
      <c r="C832" t="inlineStr">
        <is>
          <t xml:space="preserve">плавательные шорты летние на завязке</t>
        </is>
      </c>
      <c r="D832" t="inlineStr">
        <is>
          <t xml:space="preserve">BS32M03васильковый,зеленый</t>
        </is>
      </c>
      <c r="E832" t="inlineStr">
        <is>
          <t xml:space="preserve">васильковый, зеленый, синий</t>
        </is>
      </c>
      <c r="F832" t="inlineStr">
        <is>
          <t xml:space="preserve">48</t>
        </is>
      </c>
      <c r="G832">
        <v>12</v>
      </c>
      <c r="H832" s="2">
        <v>19.0</v>
      </c>
      <c r="I832" t="inlineStr">
        <is>
          <t xml:space="preserve">100% полиэстер</t>
        </is>
      </c>
      <c r="J832"/>
      <c r="K832" t="inlineStr">
        <is>
          <t xml:space="preserve">Бангладеш</t>
        </is>
      </c>
      <c r="L832" t="inlineStr">
        <is>
          <t xml:space="preserve">6211110000</t>
        </is>
      </c>
      <c r="M832" t="inlineStr">
        <is>
          <t xml:space="preserve">Декларация № ЕАЭС № BY/112 11.01. ТР017 122.01 08246, до 19.04.2028</t>
        </is>
      </c>
      <c r="N832" t="inlineStr">
        <is>
          <t xml:space="preserve">27 × 25 × 1</t>
        </is>
      </c>
      <c r="O832" t="inlineStr">
        <is>
          <t xml:space="preserve">0,2</t>
        </is>
      </c>
      <c r="P832" t="inlineStr">
        <is>
          <t xml:space="preserve">4816148131904</t>
        </is>
      </c>
      <c r="Q832" s="3" t="str">
        <f>HYPERLINK("https://modify.by/img/215457019/1.webp","фото")</f>
        <v>фото</v>
      </c>
      <c r="R832" s="3" t="str">
        <f>HYPERLINK("https://modify.by/catalog/plavki/215457019/?utm_source=price&amp;utm_medium=xlsx","открыть")</f>
        <v>открыть</v>
      </c>
    </row>
    <row r="833">
      <c r="A833" t="inlineStr">
        <is>
          <t xml:space="preserve">Мужской</t>
        </is>
      </c>
      <c r="B833" t="inlineStr">
        <is>
          <t xml:space="preserve">Плавки</t>
        </is>
      </c>
      <c r="C833" t="inlineStr">
        <is>
          <t xml:space="preserve">плавательные шорты летние на завязке</t>
        </is>
      </c>
      <c r="D833" t="inlineStr">
        <is>
          <t xml:space="preserve">BS32M03васильковый,зеленый</t>
        </is>
      </c>
      <c r="E833" t="inlineStr">
        <is>
          <t xml:space="preserve">васильковый, зеленый, синий</t>
        </is>
      </c>
      <c r="F833" t="inlineStr">
        <is>
          <t xml:space="preserve">50</t>
        </is>
      </c>
      <c r="G833">
        <v>9</v>
      </c>
      <c r="H833" s="2">
        <v>19.0</v>
      </c>
      <c r="I833" t="inlineStr">
        <is>
          <t xml:space="preserve">100% полиэстер</t>
        </is>
      </c>
      <c r="J833"/>
      <c r="K833" t="inlineStr">
        <is>
          <t xml:space="preserve">Бангладеш</t>
        </is>
      </c>
      <c r="L833" t="inlineStr">
        <is>
          <t xml:space="preserve">6211110000</t>
        </is>
      </c>
      <c r="M833" t="inlineStr">
        <is>
          <t xml:space="preserve">Декларация № ЕАЭС № BY/112 11.01. ТР017 122.01 08246, до 19.04.2028</t>
        </is>
      </c>
      <c r="N833" t="inlineStr">
        <is>
          <t xml:space="preserve">27 × 25 × 1</t>
        </is>
      </c>
      <c r="O833" t="inlineStr">
        <is>
          <t xml:space="preserve">0,2</t>
        </is>
      </c>
      <c r="P833" t="inlineStr">
        <is>
          <t xml:space="preserve">2038096204031</t>
        </is>
      </c>
      <c r="Q833" s="3" t="str">
        <f>HYPERLINK("https://modify.by/img/215457019/1.webp","фото")</f>
        <v>фото</v>
      </c>
      <c r="R833" s="3" t="str">
        <f>HYPERLINK("https://modify.by/catalog/plavki/215457019/?utm_source=price&amp;utm_medium=xlsx","открыть")</f>
        <v>открыть</v>
      </c>
    </row>
    <row r="834">
      <c r="A834" t="inlineStr">
        <is>
          <t xml:space="preserve">Мужской</t>
        </is>
      </c>
      <c r="B834" t="inlineStr">
        <is>
          <t xml:space="preserve">Плавки</t>
        </is>
      </c>
      <c r="C834" t="inlineStr">
        <is>
          <t xml:space="preserve">плавательные шорты летние на завязке</t>
        </is>
      </c>
      <c r="D834" t="inlineStr">
        <is>
          <t xml:space="preserve">BS32M03васильковый,зеленый</t>
        </is>
      </c>
      <c r="E834" t="inlineStr">
        <is>
          <t xml:space="preserve">васильковый, зеленый, синий</t>
        </is>
      </c>
      <c r="F834" t="inlineStr">
        <is>
          <t xml:space="preserve">50</t>
        </is>
      </c>
      <c r="G834">
        <v>9</v>
      </c>
      <c r="H834" s="2">
        <v>19.0</v>
      </c>
      <c r="I834" t="inlineStr">
        <is>
          <t xml:space="preserve">100% полиэстер</t>
        </is>
      </c>
      <c r="J834"/>
      <c r="K834" t="inlineStr">
        <is>
          <t xml:space="preserve">Бангладеш</t>
        </is>
      </c>
      <c r="L834" t="inlineStr">
        <is>
          <t xml:space="preserve">6211110000</t>
        </is>
      </c>
      <c r="M834" t="inlineStr">
        <is>
          <t xml:space="preserve">Декларация № ЕАЭС № BY/112 11.01. ТР017 122.01 08246, до 19.04.2028</t>
        </is>
      </c>
      <c r="N834" t="inlineStr">
        <is>
          <t xml:space="preserve">27 × 25 × 1</t>
        </is>
      </c>
      <c r="O834" t="inlineStr">
        <is>
          <t xml:space="preserve">0,2</t>
        </is>
      </c>
      <c r="P834" t="inlineStr">
        <is>
          <t xml:space="preserve">4816148131911</t>
        </is>
      </c>
      <c r="Q834" s="3" t="str">
        <f>HYPERLINK("https://modify.by/img/215457019/1.webp","фото")</f>
        <v>фото</v>
      </c>
      <c r="R834" s="3" t="str">
        <f>HYPERLINK("https://modify.by/catalog/plavki/215457019/?utm_source=price&amp;utm_medium=xlsx","открыть")</f>
        <v>открыть</v>
      </c>
    </row>
    <row r="835">
      <c r="A835" t="inlineStr">
        <is>
          <t xml:space="preserve">Мужской</t>
        </is>
      </c>
      <c r="B835" t="inlineStr">
        <is>
          <t xml:space="preserve">Поло</t>
        </is>
      </c>
      <c r="C835" t="inlineStr">
        <is>
          <t xml:space="preserve">Поло с коротким рукавом летнее премиум больших размеров</t>
        </is>
      </c>
      <c r="D835" t="inlineStr">
        <is>
          <t xml:space="preserve">PO32M04синий,черный</t>
        </is>
      </c>
      <c r="E835" t="inlineStr">
        <is>
          <t xml:space="preserve">синий, черный</t>
        </is>
      </c>
      <c r="F835" t="inlineStr">
        <is>
          <t xml:space="preserve">48</t>
        </is>
      </c>
      <c r="G835">
        <v>15</v>
      </c>
      <c r="H835" s="2">
        <v>30.0</v>
      </c>
      <c r="I835" t="inlineStr">
        <is>
          <t xml:space="preserve">50% полиэстер, 47% хлопок, 3% эластан</t>
        </is>
      </c>
      <c r="J835"/>
      <c r="K835" t="inlineStr">
        <is>
          <t xml:space="preserve">Бангладеш</t>
        </is>
      </c>
      <c r="L835" t="inlineStr">
        <is>
          <t xml:space="preserve">6105100000</t>
        </is>
      </c>
      <c r="M835" t="inlineStr">
        <is>
          <t xml:space="preserve">Декларация № ЕАЭС № BY/112 11.01. ТР017 122.01 08246, до 19.04.2028</t>
        </is>
      </c>
      <c r="N835" t="inlineStr">
        <is>
          <t xml:space="preserve">35 × 30 × 2</t>
        </is>
      </c>
      <c r="O835" t="inlineStr">
        <is>
          <t xml:space="preserve">0,38</t>
        </is>
      </c>
      <c r="P835" t="inlineStr">
        <is>
          <t xml:space="preserve">2038096196046</t>
        </is>
      </c>
      <c r="Q835" s="3" t="str">
        <f>HYPERLINK("https://modify.by/img/210693156/1.webp","фото")</f>
        <v>фото</v>
      </c>
      <c r="R835" s="3" t="str">
        <f>HYPERLINK("https://modify.by/catalog/polo/210693156/?utm_source=price&amp;utm_medium=xlsx","открыть")</f>
        <v>открыть</v>
      </c>
    </row>
    <row r="836">
      <c r="A836" t="inlineStr">
        <is>
          <t xml:space="preserve">Мужской</t>
        </is>
      </c>
      <c r="B836" t="inlineStr">
        <is>
          <t xml:space="preserve">Поло</t>
        </is>
      </c>
      <c r="C836" t="inlineStr">
        <is>
          <t xml:space="preserve">Поло с коротким рукавом летнее премиум больших размеров</t>
        </is>
      </c>
      <c r="D836" t="inlineStr">
        <is>
          <t xml:space="preserve">PO32M04синий,черный</t>
        </is>
      </c>
      <c r="E836" t="inlineStr">
        <is>
          <t xml:space="preserve">синий, черный</t>
        </is>
      </c>
      <c r="F836" t="inlineStr">
        <is>
          <t xml:space="preserve">48</t>
        </is>
      </c>
      <c r="G836">
        <v>15</v>
      </c>
      <c r="H836" s="2">
        <v>30.0</v>
      </c>
      <c r="I836" t="inlineStr">
        <is>
          <t xml:space="preserve">50% полиэстер, 47% хлопок, 3% эластан</t>
        </is>
      </c>
      <c r="J836"/>
      <c r="K836" t="inlineStr">
        <is>
          <t xml:space="preserve">Бангладеш</t>
        </is>
      </c>
      <c r="L836" t="inlineStr">
        <is>
          <t xml:space="preserve">6105100000</t>
        </is>
      </c>
      <c r="M836" t="inlineStr">
        <is>
          <t xml:space="preserve">Декларация № ЕАЭС № BY/112 11.01. ТР017 122.01 08246, до 19.04.2028</t>
        </is>
      </c>
      <c r="N836" t="inlineStr">
        <is>
          <t xml:space="preserve">35 × 30 × 2</t>
        </is>
      </c>
      <c r="O836" t="inlineStr">
        <is>
          <t xml:space="preserve">0,38</t>
        </is>
      </c>
      <c r="P836" t="inlineStr">
        <is>
          <t xml:space="preserve">4816148133809</t>
        </is>
      </c>
      <c r="Q836" s="3" t="str">
        <f>HYPERLINK("https://modify.by/img/210693156/1.webp","фото")</f>
        <v>фото</v>
      </c>
      <c r="R836" s="3" t="str">
        <f>HYPERLINK("https://modify.by/catalog/polo/210693156/?utm_source=price&amp;utm_medium=xlsx","открыть")</f>
        <v>открыть</v>
      </c>
    </row>
    <row r="837">
      <c r="A837" t="inlineStr">
        <is>
          <t xml:space="preserve">Мужской</t>
        </is>
      </c>
      <c r="B837" t="inlineStr">
        <is>
          <t xml:space="preserve">Поло</t>
        </is>
      </c>
      <c r="C837" t="inlineStr">
        <is>
          <t xml:space="preserve">Футболка поло 100% хлопок, белый</t>
        </is>
      </c>
      <c r="D837" t="inlineStr">
        <is>
          <t xml:space="preserve">PO32M02белый,темно-синий</t>
        </is>
      </c>
      <c r="E837" t="inlineStr">
        <is>
          <t xml:space="preserve">белый, темно-синий</t>
        </is>
      </c>
      <c r="F837" t="inlineStr">
        <is>
          <t xml:space="preserve">52</t>
        </is>
      </c>
      <c r="G837">
        <v>1</v>
      </c>
      <c r="H837" s="2">
        <v>29.0</v>
      </c>
      <c r="I837" t="inlineStr">
        <is>
          <t xml:space="preserve">100% хлопок</t>
        </is>
      </c>
      <c r="J837"/>
      <c r="K837" t="inlineStr">
        <is>
          <t xml:space="preserve">Бангладеш</t>
        </is>
      </c>
      <c r="L837" t="inlineStr">
        <is>
          <t xml:space="preserve">6105100000</t>
        </is>
      </c>
      <c r="M837" t="inlineStr">
        <is>
          <t xml:space="preserve">Декларация № ЕАЭС № BY/112 11.01. ТР017 122.01 08246, до 19.04.2028</t>
        </is>
      </c>
      <c r="N837" t="inlineStr">
        <is>
          <t xml:space="preserve">35 × 30 × 2</t>
        </is>
      </c>
      <c r="O837" t="inlineStr">
        <is>
          <t xml:space="preserve">0,25</t>
        </is>
      </c>
      <c r="P837" t="inlineStr">
        <is>
          <t xml:space="preserve">2038096194660</t>
        </is>
      </c>
      <c r="Q837" s="3" t="str">
        <f>HYPERLINK("https://modify.by/img/210833275/1.webp","фото")</f>
        <v>фото</v>
      </c>
      <c r="R837" s="3" t="str">
        <f>HYPERLINK("https://modify.by/catalog/polo/210833275/?utm_source=price&amp;utm_medium=xlsx","открыть")</f>
        <v>открыть</v>
      </c>
    </row>
    <row r="838">
      <c r="A838" t="inlineStr">
        <is>
          <t xml:space="preserve">Мужской</t>
        </is>
      </c>
      <c r="B838" t="inlineStr">
        <is>
          <t xml:space="preserve">Поло</t>
        </is>
      </c>
      <c r="C838" t="inlineStr">
        <is>
          <t xml:space="preserve">Футболка поло 100% хлопок, белый</t>
        </is>
      </c>
      <c r="D838" t="inlineStr">
        <is>
          <t xml:space="preserve">PO32M02белый,темно-синий</t>
        </is>
      </c>
      <c r="E838" t="inlineStr">
        <is>
          <t xml:space="preserve">белый, темно-синий</t>
        </is>
      </c>
      <c r="F838" t="inlineStr">
        <is>
          <t xml:space="preserve">52</t>
        </is>
      </c>
      <c r="G838">
        <v>1</v>
      </c>
      <c r="H838" s="2">
        <v>29.0</v>
      </c>
      <c r="I838" t="inlineStr">
        <is>
          <t xml:space="preserve">100% хлопок</t>
        </is>
      </c>
      <c r="J838"/>
      <c r="K838" t="inlineStr">
        <is>
          <t xml:space="preserve">Бангладеш</t>
        </is>
      </c>
      <c r="L838" t="inlineStr">
        <is>
          <t xml:space="preserve">6105100000</t>
        </is>
      </c>
      <c r="M838" t="inlineStr">
        <is>
          <t xml:space="preserve">Декларация № ЕАЭС № BY/112 11.01. ТР017 122.01 08246, до 19.04.2028</t>
        </is>
      </c>
      <c r="N838" t="inlineStr">
        <is>
          <t xml:space="preserve">35 × 30 × 2</t>
        </is>
      </c>
      <c r="O838" t="inlineStr">
        <is>
          <t xml:space="preserve">0,25</t>
        </is>
      </c>
      <c r="P838" t="inlineStr">
        <is>
          <t xml:space="preserve">4816148134400</t>
        </is>
      </c>
      <c r="Q838" s="3" t="str">
        <f>HYPERLINK("https://modify.by/img/210833275/1.webp","фото")</f>
        <v>фото</v>
      </c>
      <c r="R838" s="3" t="str">
        <f>HYPERLINK("https://modify.by/catalog/polo/210833275/?utm_source=price&amp;utm_medium=xlsx","открыть")</f>
        <v>открыть</v>
      </c>
    </row>
    <row r="839">
      <c r="A839" t="inlineStr">
        <is>
          <t xml:space="preserve">Мужской</t>
        </is>
      </c>
      <c r="B839" t="inlineStr">
        <is>
          <t xml:space="preserve">Поло</t>
        </is>
      </c>
      <c r="C839" t="inlineStr">
        <is>
          <t xml:space="preserve">Футболка поло 100% хлопок, белый</t>
        </is>
      </c>
      <c r="D839" t="inlineStr">
        <is>
          <t xml:space="preserve">PO32M02белый,темно-синий</t>
        </is>
      </c>
      <c r="E839" t="inlineStr">
        <is>
          <t xml:space="preserve">белый, темно-синий</t>
        </is>
      </c>
      <c r="F839" t="inlineStr">
        <is>
          <t xml:space="preserve">54</t>
        </is>
      </c>
      <c r="G839">
        <v>161</v>
      </c>
      <c r="H839" s="2">
        <v>29.0</v>
      </c>
      <c r="I839" t="inlineStr">
        <is>
          <t xml:space="preserve">100% хлопок</t>
        </is>
      </c>
      <c r="J839"/>
      <c r="K839" t="inlineStr">
        <is>
          <t xml:space="preserve">Бангладеш</t>
        </is>
      </c>
      <c r="L839" t="inlineStr">
        <is>
          <t xml:space="preserve">6105100000</t>
        </is>
      </c>
      <c r="M839" t="inlineStr">
        <is>
          <t xml:space="preserve">Декларация № ЕАЭС № BY/112 11.01. ТР017 122.01 08246, до 19.04.2028</t>
        </is>
      </c>
      <c r="N839" t="inlineStr">
        <is>
          <t xml:space="preserve">35 × 30 × 2</t>
        </is>
      </c>
      <c r="O839" t="inlineStr">
        <is>
          <t xml:space="preserve">0,25</t>
        </is>
      </c>
      <c r="P839" t="inlineStr">
        <is>
          <t xml:space="preserve">2038096194677</t>
        </is>
      </c>
      <c r="Q839" s="3" t="str">
        <f>HYPERLINK("https://modify.by/img/210833275/1.webp","фото")</f>
        <v>фото</v>
      </c>
      <c r="R839" s="3" t="str">
        <f>HYPERLINK("https://modify.by/catalog/polo/210833275/?utm_source=price&amp;utm_medium=xlsx","открыть")</f>
        <v>открыть</v>
      </c>
    </row>
    <row r="840">
      <c r="A840" t="inlineStr">
        <is>
          <t xml:space="preserve">Мужской</t>
        </is>
      </c>
      <c r="B840" t="inlineStr">
        <is>
          <t xml:space="preserve">Поло</t>
        </is>
      </c>
      <c r="C840" t="inlineStr">
        <is>
          <t xml:space="preserve">Футболка поло 100% хлопок, белый</t>
        </is>
      </c>
      <c r="D840" t="inlineStr">
        <is>
          <t xml:space="preserve">PO32M02белый,темно-синий</t>
        </is>
      </c>
      <c r="E840" t="inlineStr">
        <is>
          <t xml:space="preserve">белый, темно-синий</t>
        </is>
      </c>
      <c r="F840" t="inlineStr">
        <is>
          <t xml:space="preserve">54</t>
        </is>
      </c>
      <c r="G840">
        <v>161</v>
      </c>
      <c r="H840" s="2">
        <v>29.0</v>
      </c>
      <c r="I840" t="inlineStr">
        <is>
          <t xml:space="preserve">100% хлопок</t>
        </is>
      </c>
      <c r="J840"/>
      <c r="K840" t="inlineStr">
        <is>
          <t xml:space="preserve">Бангладеш</t>
        </is>
      </c>
      <c r="L840" t="inlineStr">
        <is>
          <t xml:space="preserve">6105100000</t>
        </is>
      </c>
      <c r="M840" t="inlineStr">
        <is>
          <t xml:space="preserve">Декларация № ЕАЭС № BY/112 11.01. ТР017 122.01 08246, до 19.04.2028</t>
        </is>
      </c>
      <c r="N840" t="inlineStr">
        <is>
          <t xml:space="preserve">35 × 30 × 2</t>
        </is>
      </c>
      <c r="O840" t="inlineStr">
        <is>
          <t xml:space="preserve">0,25</t>
        </is>
      </c>
      <c r="P840" t="inlineStr">
        <is>
          <t xml:space="preserve">4816148134417</t>
        </is>
      </c>
      <c r="Q840" s="3" t="str">
        <f>HYPERLINK("https://modify.by/img/210833275/1.webp","фото")</f>
        <v>фото</v>
      </c>
      <c r="R840" s="3" t="str">
        <f>HYPERLINK("https://modify.by/catalog/polo/210833275/?utm_source=price&amp;utm_medium=xlsx","открыть")</f>
        <v>открыть</v>
      </c>
    </row>
    <row r="841">
      <c r="A841" t="inlineStr">
        <is>
          <t xml:space="preserve">Мужской</t>
        </is>
      </c>
      <c r="B841" t="inlineStr">
        <is>
          <t xml:space="preserve">Поло</t>
        </is>
      </c>
      <c r="C841" t="inlineStr">
        <is>
          <t xml:space="preserve">Футболка поло 100% хлопок, белый</t>
        </is>
      </c>
      <c r="D841" t="inlineStr">
        <is>
          <t xml:space="preserve">PO32M02белый,темно-синий</t>
        </is>
      </c>
      <c r="E841" t="inlineStr">
        <is>
          <t xml:space="preserve">белый, темно-синий</t>
        </is>
      </c>
      <c r="F841" t="inlineStr">
        <is>
          <t xml:space="preserve">56</t>
        </is>
      </c>
      <c r="G841">
        <v>92</v>
      </c>
      <c r="H841" s="2">
        <v>29.0</v>
      </c>
      <c r="I841" t="inlineStr">
        <is>
          <t xml:space="preserve">100% хлопок</t>
        </is>
      </c>
      <c r="J841"/>
      <c r="K841" t="inlineStr">
        <is>
          <t xml:space="preserve">Бангладеш</t>
        </is>
      </c>
      <c r="L841" t="inlineStr">
        <is>
          <t xml:space="preserve">6105100000</t>
        </is>
      </c>
      <c r="M841" t="inlineStr">
        <is>
          <t xml:space="preserve">Декларация № ЕАЭС № BY/112 11.01. ТР017 122.01 08246, до 19.04.2028</t>
        </is>
      </c>
      <c r="N841" t="inlineStr">
        <is>
          <t xml:space="preserve">35 × 30 × 2</t>
        </is>
      </c>
      <c r="O841" t="inlineStr">
        <is>
          <t xml:space="preserve">0,25</t>
        </is>
      </c>
      <c r="P841" t="inlineStr">
        <is>
          <t xml:space="preserve">2038096194684</t>
        </is>
      </c>
      <c r="Q841" s="3" t="str">
        <f>HYPERLINK("https://modify.by/img/210833275/1.webp","фото")</f>
        <v>фото</v>
      </c>
      <c r="R841" s="3" t="str">
        <f>HYPERLINK("https://modify.by/catalog/polo/210833275/?utm_source=price&amp;utm_medium=xlsx","открыть")</f>
        <v>открыть</v>
      </c>
    </row>
    <row r="842">
      <c r="A842" t="inlineStr">
        <is>
          <t xml:space="preserve">Мужской</t>
        </is>
      </c>
      <c r="B842" t="inlineStr">
        <is>
          <t xml:space="preserve">Поло</t>
        </is>
      </c>
      <c r="C842" t="inlineStr">
        <is>
          <t xml:space="preserve">Футболка поло 100% хлопок, белый</t>
        </is>
      </c>
      <c r="D842" t="inlineStr">
        <is>
          <t xml:space="preserve">PO32M02белый,темно-синий</t>
        </is>
      </c>
      <c r="E842" t="inlineStr">
        <is>
          <t xml:space="preserve">белый, темно-синий</t>
        </is>
      </c>
      <c r="F842" t="inlineStr">
        <is>
          <t xml:space="preserve">56</t>
        </is>
      </c>
      <c r="G842">
        <v>92</v>
      </c>
      <c r="H842" s="2">
        <v>29.0</v>
      </c>
      <c r="I842" t="inlineStr">
        <is>
          <t xml:space="preserve">100% хлопок</t>
        </is>
      </c>
      <c r="J842"/>
      <c r="K842" t="inlineStr">
        <is>
          <t xml:space="preserve">Бангладеш</t>
        </is>
      </c>
      <c r="L842" t="inlineStr">
        <is>
          <t xml:space="preserve">6105100000</t>
        </is>
      </c>
      <c r="M842" t="inlineStr">
        <is>
          <t xml:space="preserve">Декларация № ЕАЭС № BY/112 11.01. ТР017 122.01 08246, до 19.04.2028</t>
        </is>
      </c>
      <c r="N842" t="inlineStr">
        <is>
          <t xml:space="preserve">35 × 30 × 2</t>
        </is>
      </c>
      <c r="O842" t="inlineStr">
        <is>
          <t xml:space="preserve">0,25</t>
        </is>
      </c>
      <c r="P842" t="inlineStr">
        <is>
          <t xml:space="preserve">4816148134424</t>
        </is>
      </c>
      <c r="Q842" s="3" t="str">
        <f>HYPERLINK("https://modify.by/img/210833275/1.webp","фото")</f>
        <v>фото</v>
      </c>
      <c r="R842" s="3" t="str">
        <f>HYPERLINK("https://modify.by/catalog/polo/210833275/?utm_source=price&amp;utm_medium=xlsx","открыть")</f>
        <v>открыть</v>
      </c>
    </row>
    <row r="843">
      <c r="A843" t="inlineStr">
        <is>
          <t xml:space="preserve">Мужской</t>
        </is>
      </c>
      <c r="B843" t="inlineStr">
        <is>
          <t xml:space="preserve">Поло</t>
        </is>
      </c>
      <c r="C843" t="inlineStr">
        <is>
          <t xml:space="preserve">Футболка поло 100% хлопок, бирюзовый</t>
        </is>
      </c>
      <c r="D843" t="inlineStr">
        <is>
          <t xml:space="preserve">PO32M02бирюзовый,темно-синий</t>
        </is>
      </c>
      <c r="E843" t="inlineStr">
        <is>
          <t xml:space="preserve">бирюзовый, темно-синий</t>
        </is>
      </c>
      <c r="F843" t="inlineStr">
        <is>
          <t xml:space="preserve">52</t>
        </is>
      </c>
      <c r="G843">
        <v>1</v>
      </c>
      <c r="H843" s="2">
        <v>29.0</v>
      </c>
      <c r="I843" t="inlineStr">
        <is>
          <t xml:space="preserve">100% хлопок</t>
        </is>
      </c>
      <c r="J843"/>
      <c r="K843" t="inlineStr">
        <is>
          <t xml:space="preserve">Бангладеш</t>
        </is>
      </c>
      <c r="L843" t="inlineStr">
        <is>
          <t xml:space="preserve">6105100000</t>
        </is>
      </c>
      <c r="M843" t="inlineStr">
        <is>
          <t xml:space="preserve">Декларация № ЕАЭС № BY/112 11.01. ТР017 122.01 08246, до 19.04.2028</t>
        </is>
      </c>
      <c r="N843" t="inlineStr">
        <is>
          <t xml:space="preserve">35 × 30 × 2</t>
        </is>
      </c>
      <c r="O843" t="inlineStr">
        <is>
          <t xml:space="preserve">0,25</t>
        </is>
      </c>
      <c r="P843" t="inlineStr">
        <is>
          <t xml:space="preserve">2038096194691</t>
        </is>
      </c>
      <c r="Q843" s="3" t="str">
        <f>HYPERLINK("https://modify.by/img/210833284/1.webp","фото")</f>
        <v>фото</v>
      </c>
      <c r="R843" s="3" t="str">
        <f>HYPERLINK("https://modify.by/catalog/polo/210833284/?utm_source=price&amp;utm_medium=xlsx","открыть")</f>
        <v>открыть</v>
      </c>
    </row>
    <row r="844">
      <c r="A844" t="inlineStr">
        <is>
          <t xml:space="preserve">Мужской</t>
        </is>
      </c>
      <c r="B844" t="inlineStr">
        <is>
          <t xml:space="preserve">Поло</t>
        </is>
      </c>
      <c r="C844" t="inlineStr">
        <is>
          <t xml:space="preserve">Футболка поло 100% хлопок, бирюзовый</t>
        </is>
      </c>
      <c r="D844" t="inlineStr">
        <is>
          <t xml:space="preserve">PO32M02бирюзовый,темно-синий</t>
        </is>
      </c>
      <c r="E844" t="inlineStr">
        <is>
          <t xml:space="preserve">бирюзовый, темно-синий</t>
        </is>
      </c>
      <c r="F844" t="inlineStr">
        <is>
          <t xml:space="preserve">52</t>
        </is>
      </c>
      <c r="G844">
        <v>1</v>
      </c>
      <c r="H844" s="2">
        <v>29.0</v>
      </c>
      <c r="I844" t="inlineStr">
        <is>
          <t xml:space="preserve">100% хлопок</t>
        </is>
      </c>
      <c r="J844"/>
      <c r="K844" t="inlineStr">
        <is>
          <t xml:space="preserve">Бангладеш</t>
        </is>
      </c>
      <c r="L844" t="inlineStr">
        <is>
          <t xml:space="preserve">6105100000</t>
        </is>
      </c>
      <c r="M844" t="inlineStr">
        <is>
          <t xml:space="preserve">Декларация № ЕАЭС № BY/112 11.01. ТР017 122.01 08246, до 19.04.2028</t>
        </is>
      </c>
      <c r="N844" t="inlineStr">
        <is>
          <t xml:space="preserve">35 × 30 × 2</t>
        </is>
      </c>
      <c r="O844" t="inlineStr">
        <is>
          <t xml:space="preserve">0,25</t>
        </is>
      </c>
      <c r="P844" t="inlineStr">
        <is>
          <t xml:space="preserve">4816148134431</t>
        </is>
      </c>
      <c r="Q844" s="3" t="str">
        <f>HYPERLINK("https://modify.by/img/210833284/1.webp","фото")</f>
        <v>фото</v>
      </c>
      <c r="R844" s="3" t="str">
        <f>HYPERLINK("https://modify.by/catalog/polo/210833284/?utm_source=price&amp;utm_medium=xlsx","открыть")</f>
        <v>открыть</v>
      </c>
    </row>
    <row r="845">
      <c r="A845" t="inlineStr">
        <is>
          <t xml:space="preserve">Мужской</t>
        </is>
      </c>
      <c r="B845" t="inlineStr">
        <is>
          <t xml:space="preserve">Поло</t>
        </is>
      </c>
      <c r="C845" t="inlineStr">
        <is>
          <t xml:space="preserve">Футболка поло 100% хлопок, бирюзовый</t>
        </is>
      </c>
      <c r="D845" t="inlineStr">
        <is>
          <t xml:space="preserve">PO32M02бирюзовый,темно-синий</t>
        </is>
      </c>
      <c r="E845" t="inlineStr">
        <is>
          <t xml:space="preserve">бирюзовый, темно-синий</t>
        </is>
      </c>
      <c r="F845" t="inlineStr">
        <is>
          <t xml:space="preserve">54</t>
        </is>
      </c>
      <c r="G845">
        <v>153</v>
      </c>
      <c r="H845" s="2">
        <v>29.0</v>
      </c>
      <c r="I845" t="inlineStr">
        <is>
          <t xml:space="preserve">100% хлопок</t>
        </is>
      </c>
      <c r="J845"/>
      <c r="K845" t="inlineStr">
        <is>
          <t xml:space="preserve">Бангладеш</t>
        </is>
      </c>
      <c r="L845" t="inlineStr">
        <is>
          <t xml:space="preserve">6105100000</t>
        </is>
      </c>
      <c r="M845" t="inlineStr">
        <is>
          <t xml:space="preserve">Декларация № ЕАЭС № BY/112 11.01. ТР017 122.01 08246, до 19.04.2028</t>
        </is>
      </c>
      <c r="N845" t="inlineStr">
        <is>
          <t xml:space="preserve">35 × 30 × 2</t>
        </is>
      </c>
      <c r="O845" t="inlineStr">
        <is>
          <t xml:space="preserve">0,25</t>
        </is>
      </c>
      <c r="P845" t="inlineStr">
        <is>
          <t xml:space="preserve">2038096194707</t>
        </is>
      </c>
      <c r="Q845" s="3" t="str">
        <f>HYPERLINK("https://modify.by/img/210833284/1.webp","фото")</f>
        <v>фото</v>
      </c>
      <c r="R845" s="3" t="str">
        <f>HYPERLINK("https://modify.by/catalog/polo/210833284/?utm_source=price&amp;utm_medium=xlsx","открыть")</f>
        <v>открыть</v>
      </c>
    </row>
    <row r="846">
      <c r="A846" t="inlineStr">
        <is>
          <t xml:space="preserve">Мужской</t>
        </is>
      </c>
      <c r="B846" t="inlineStr">
        <is>
          <t xml:space="preserve">Поло</t>
        </is>
      </c>
      <c r="C846" t="inlineStr">
        <is>
          <t xml:space="preserve">Футболка поло 100% хлопок, бирюзовый</t>
        </is>
      </c>
      <c r="D846" t="inlineStr">
        <is>
          <t xml:space="preserve">PO32M02бирюзовый,темно-синий</t>
        </is>
      </c>
      <c r="E846" t="inlineStr">
        <is>
          <t xml:space="preserve">бирюзовый, темно-синий</t>
        </is>
      </c>
      <c r="F846" t="inlineStr">
        <is>
          <t xml:space="preserve">54</t>
        </is>
      </c>
      <c r="G846">
        <v>153</v>
      </c>
      <c r="H846" s="2">
        <v>29.0</v>
      </c>
      <c r="I846" t="inlineStr">
        <is>
          <t xml:space="preserve">100% хлопок</t>
        </is>
      </c>
      <c r="J846"/>
      <c r="K846" t="inlineStr">
        <is>
          <t xml:space="preserve">Бангладеш</t>
        </is>
      </c>
      <c r="L846" t="inlineStr">
        <is>
          <t xml:space="preserve">6105100000</t>
        </is>
      </c>
      <c r="M846" t="inlineStr">
        <is>
          <t xml:space="preserve">Декларация № ЕАЭС № BY/112 11.01. ТР017 122.01 08246, до 19.04.2028</t>
        </is>
      </c>
      <c r="N846" t="inlineStr">
        <is>
          <t xml:space="preserve">35 × 30 × 2</t>
        </is>
      </c>
      <c r="O846" t="inlineStr">
        <is>
          <t xml:space="preserve">0,25</t>
        </is>
      </c>
      <c r="P846" t="inlineStr">
        <is>
          <t xml:space="preserve">4816148134448</t>
        </is>
      </c>
      <c r="Q846" s="3" t="str">
        <f>HYPERLINK("https://modify.by/img/210833284/1.webp","фото")</f>
        <v>фото</v>
      </c>
      <c r="R846" s="3" t="str">
        <f>HYPERLINK("https://modify.by/catalog/polo/210833284/?utm_source=price&amp;utm_medium=xlsx","открыть")</f>
        <v>открыть</v>
      </c>
    </row>
    <row r="847">
      <c r="A847" t="inlineStr">
        <is>
          <t xml:space="preserve">Мужской</t>
        </is>
      </c>
      <c r="B847" t="inlineStr">
        <is>
          <t xml:space="preserve">Поло</t>
        </is>
      </c>
      <c r="C847" t="inlineStr">
        <is>
          <t xml:space="preserve">Футболка поло 100% хлопок, бирюзовый</t>
        </is>
      </c>
      <c r="D847" t="inlineStr">
        <is>
          <t xml:space="preserve">PO32M02бирюзовый,темно-синий</t>
        </is>
      </c>
      <c r="E847" t="inlineStr">
        <is>
          <t xml:space="preserve">бирюзовый, темно-синий</t>
        </is>
      </c>
      <c r="F847" t="inlineStr">
        <is>
          <t xml:space="preserve">56</t>
        </is>
      </c>
      <c r="G847">
        <v>84</v>
      </c>
      <c r="H847" s="2">
        <v>29.0</v>
      </c>
      <c r="I847" t="inlineStr">
        <is>
          <t xml:space="preserve">100% хлопок</t>
        </is>
      </c>
      <c r="J847"/>
      <c r="K847" t="inlineStr">
        <is>
          <t xml:space="preserve">Бангладеш</t>
        </is>
      </c>
      <c r="L847" t="inlineStr">
        <is>
          <t xml:space="preserve">6105100000</t>
        </is>
      </c>
      <c r="M847" t="inlineStr">
        <is>
          <t xml:space="preserve">Декларация № ЕАЭС № BY/112 11.01. ТР017 122.01 08246, до 19.04.2028</t>
        </is>
      </c>
      <c r="N847" t="inlineStr">
        <is>
          <t xml:space="preserve">35 × 30 × 2</t>
        </is>
      </c>
      <c r="O847" t="inlineStr">
        <is>
          <t xml:space="preserve">0,25</t>
        </is>
      </c>
      <c r="P847" t="inlineStr">
        <is>
          <t xml:space="preserve">2038096194714</t>
        </is>
      </c>
      <c r="Q847" s="3" t="str">
        <f>HYPERLINK("https://modify.by/img/210833284/1.webp","фото")</f>
        <v>фото</v>
      </c>
      <c r="R847" s="3" t="str">
        <f>HYPERLINK("https://modify.by/catalog/polo/210833284/?utm_source=price&amp;utm_medium=xlsx","открыть")</f>
        <v>открыть</v>
      </c>
    </row>
    <row r="848">
      <c r="A848" t="inlineStr">
        <is>
          <t xml:space="preserve">Мужской</t>
        </is>
      </c>
      <c r="B848" t="inlineStr">
        <is>
          <t xml:space="preserve">Поло</t>
        </is>
      </c>
      <c r="C848" t="inlineStr">
        <is>
          <t xml:space="preserve">Футболка поло 100% хлопок, бирюзовый</t>
        </is>
      </c>
      <c r="D848" t="inlineStr">
        <is>
          <t xml:space="preserve">PO32M02бирюзовый,темно-синий</t>
        </is>
      </c>
      <c r="E848" t="inlineStr">
        <is>
          <t xml:space="preserve">бирюзовый, темно-синий</t>
        </is>
      </c>
      <c r="F848" t="inlineStr">
        <is>
          <t xml:space="preserve">56</t>
        </is>
      </c>
      <c r="G848">
        <v>84</v>
      </c>
      <c r="H848" s="2">
        <v>29.0</v>
      </c>
      <c r="I848" t="inlineStr">
        <is>
          <t xml:space="preserve">100% хлопок</t>
        </is>
      </c>
      <c r="J848"/>
      <c r="K848" t="inlineStr">
        <is>
          <t xml:space="preserve">Бангладеш</t>
        </is>
      </c>
      <c r="L848" t="inlineStr">
        <is>
          <t xml:space="preserve">6105100000</t>
        </is>
      </c>
      <c r="M848" t="inlineStr">
        <is>
          <t xml:space="preserve">Декларация № ЕАЭС № BY/112 11.01. ТР017 122.01 08246, до 19.04.2028</t>
        </is>
      </c>
      <c r="N848" t="inlineStr">
        <is>
          <t xml:space="preserve">35 × 30 × 2</t>
        </is>
      </c>
      <c r="O848" t="inlineStr">
        <is>
          <t xml:space="preserve">0,25</t>
        </is>
      </c>
      <c r="P848" t="inlineStr">
        <is>
          <t xml:space="preserve">4816148134455</t>
        </is>
      </c>
      <c r="Q848" s="3" t="str">
        <f>HYPERLINK("https://modify.by/img/210833284/1.webp","фото")</f>
        <v>фото</v>
      </c>
      <c r="R848" s="3" t="str">
        <f>HYPERLINK("https://modify.by/catalog/polo/210833284/?utm_source=price&amp;utm_medium=xlsx","открыть")</f>
        <v>открыть</v>
      </c>
    </row>
    <row r="849">
      <c r="A849" t="inlineStr">
        <is>
          <t xml:space="preserve">Мужской</t>
        </is>
      </c>
      <c r="B849" t="inlineStr">
        <is>
          <t xml:space="preserve">Поло</t>
        </is>
      </c>
      <c r="C849" t="inlineStr">
        <is>
          <t xml:space="preserve">Футболка поло премиум больше размеры</t>
        </is>
      </c>
      <c r="D849" t="inlineStr">
        <is>
          <t xml:space="preserve">PO32M04сиреневый,темно-синий</t>
        </is>
      </c>
      <c r="E849" t="inlineStr">
        <is>
          <t xml:space="preserve">сиреневый, темно-синий</t>
        </is>
      </c>
      <c r="F849" t="inlineStr">
        <is>
          <t xml:space="preserve">48</t>
        </is>
      </c>
      <c r="G849">
        <v>34</v>
      </c>
      <c r="H849" s="2">
        <v>30.0</v>
      </c>
      <c r="I849" t="inlineStr">
        <is>
          <t xml:space="preserve">50% полиэстер, 47% хлопок, 3% эластан</t>
        </is>
      </c>
      <c r="J849"/>
      <c r="K849" t="inlineStr">
        <is>
          <t xml:space="preserve">Бангладеш</t>
        </is>
      </c>
      <c r="L849" t="inlineStr">
        <is>
          <t xml:space="preserve">6105100000</t>
        </is>
      </c>
      <c r="M849" t="inlineStr">
        <is>
          <t xml:space="preserve">Декларация № ЕАЭС № BY/112 11.01. ТР017 122.01 08246, до 19.04.2028</t>
        </is>
      </c>
      <c r="N849" t="inlineStr">
        <is>
          <t xml:space="preserve">35 × 30 × 2</t>
        </is>
      </c>
      <c r="O849" t="inlineStr">
        <is>
          <t xml:space="preserve">0,25</t>
        </is>
      </c>
      <c r="P849" t="inlineStr">
        <is>
          <t xml:space="preserve">2038096195988</t>
        </is>
      </c>
      <c r="Q849" s="3" t="str">
        <f>HYPERLINK("https://modify.by/img/210693161/1.webp","фото")</f>
        <v>фото</v>
      </c>
      <c r="R849" s="3" t="str">
        <f>HYPERLINK("https://modify.by/catalog/polo/210693161/?utm_source=price&amp;utm_medium=xlsx","открыть")</f>
        <v>открыть</v>
      </c>
    </row>
    <row r="850">
      <c r="A850" t="inlineStr">
        <is>
          <t xml:space="preserve">Мужской</t>
        </is>
      </c>
      <c r="B850" t="inlineStr">
        <is>
          <t xml:space="preserve">Поло</t>
        </is>
      </c>
      <c r="C850" t="inlineStr">
        <is>
          <t xml:space="preserve">Футболка поло премиум больше размеры</t>
        </is>
      </c>
      <c r="D850" t="inlineStr">
        <is>
          <t xml:space="preserve">PO32M04сиреневый,темно-синий</t>
        </is>
      </c>
      <c r="E850" t="inlineStr">
        <is>
          <t xml:space="preserve">сиреневый, темно-синий</t>
        </is>
      </c>
      <c r="F850" t="inlineStr">
        <is>
          <t xml:space="preserve">48</t>
        </is>
      </c>
      <c r="G850">
        <v>34</v>
      </c>
      <c r="H850" s="2">
        <v>30.0</v>
      </c>
      <c r="I850" t="inlineStr">
        <is>
          <t xml:space="preserve">50% полиэстер, 47% хлопок, 3% эластан</t>
        </is>
      </c>
      <c r="J850"/>
      <c r="K850" t="inlineStr">
        <is>
          <t xml:space="preserve">Бангладеш</t>
        </is>
      </c>
      <c r="L850" t="inlineStr">
        <is>
          <t xml:space="preserve">6105100000</t>
        </is>
      </c>
      <c r="M850" t="inlineStr">
        <is>
          <t xml:space="preserve">Декларация № ЕАЭС № BY/112 11.01. ТР017 122.01 08246, до 19.04.2028</t>
        </is>
      </c>
      <c r="N850" t="inlineStr">
        <is>
          <t xml:space="preserve">35 × 30 × 2</t>
        </is>
      </c>
      <c r="O850" t="inlineStr">
        <is>
          <t xml:space="preserve">0,25</t>
        </is>
      </c>
      <c r="P850" t="inlineStr">
        <is>
          <t xml:space="preserve">4816148133854</t>
        </is>
      </c>
      <c r="Q850" s="3" t="str">
        <f>HYPERLINK("https://modify.by/img/210693161/1.webp","фото")</f>
        <v>фото</v>
      </c>
      <c r="R850" s="3" t="str">
        <f>HYPERLINK("https://modify.by/catalog/polo/210693161/?utm_source=price&amp;utm_medium=xlsx","открыть")</f>
        <v>открыть</v>
      </c>
    </row>
    <row r="851">
      <c r="A851" t="inlineStr">
        <is>
          <t xml:space="preserve">Мужской</t>
        </is>
      </c>
      <c r="B851" t="inlineStr">
        <is>
          <t xml:space="preserve">Поло</t>
        </is>
      </c>
      <c r="C851" t="inlineStr">
        <is>
          <t xml:space="preserve">Футболка поло премиум больше размеры</t>
        </is>
      </c>
      <c r="D851" t="inlineStr">
        <is>
          <t xml:space="preserve">PO32M04сиреневый,темно-синий</t>
        </is>
      </c>
      <c r="E851" t="inlineStr">
        <is>
          <t xml:space="preserve">сиреневый, темно-синий</t>
        </is>
      </c>
      <c r="F851" t="inlineStr">
        <is>
          <t xml:space="preserve">50</t>
        </is>
      </c>
      <c r="G851">
        <v>1</v>
      </c>
      <c r="H851" s="2">
        <v>30.0</v>
      </c>
      <c r="I851" t="inlineStr">
        <is>
          <t xml:space="preserve">50% полиэстер, 47% хлопок, 3% эластан</t>
        </is>
      </c>
      <c r="J851"/>
      <c r="K851" t="inlineStr">
        <is>
          <t xml:space="preserve">Бангладеш</t>
        </is>
      </c>
      <c r="L851" t="inlineStr">
        <is>
          <t xml:space="preserve">6105100000</t>
        </is>
      </c>
      <c r="M851" t="inlineStr">
        <is>
          <t xml:space="preserve">Декларация № ЕАЭС № BY/112 11.01. ТР017 122.01 08246, до 19.04.2028</t>
        </is>
      </c>
      <c r="N851" t="inlineStr">
        <is>
          <t xml:space="preserve">35 × 30 × 2</t>
        </is>
      </c>
      <c r="O851" t="inlineStr">
        <is>
          <t xml:space="preserve">0,25</t>
        </is>
      </c>
      <c r="P851" t="inlineStr">
        <is>
          <t xml:space="preserve">2038096195995</t>
        </is>
      </c>
      <c r="Q851" s="3" t="str">
        <f>HYPERLINK("https://modify.by/img/210693161/1.webp","фото")</f>
        <v>фото</v>
      </c>
      <c r="R851" s="3" t="str">
        <f>HYPERLINK("https://modify.by/catalog/polo/210693161/?utm_source=price&amp;utm_medium=xlsx","открыть")</f>
        <v>открыть</v>
      </c>
    </row>
    <row r="852">
      <c r="A852" t="inlineStr">
        <is>
          <t xml:space="preserve">Мужской</t>
        </is>
      </c>
      <c r="B852" t="inlineStr">
        <is>
          <t xml:space="preserve">Поло</t>
        </is>
      </c>
      <c r="C852" t="inlineStr">
        <is>
          <t xml:space="preserve">Футболка поло премиум больше размеры</t>
        </is>
      </c>
      <c r="D852" t="inlineStr">
        <is>
          <t xml:space="preserve">PO32M04сиреневый,темно-синий</t>
        </is>
      </c>
      <c r="E852" t="inlineStr">
        <is>
          <t xml:space="preserve">сиреневый, темно-синий</t>
        </is>
      </c>
      <c r="F852" t="inlineStr">
        <is>
          <t xml:space="preserve">50</t>
        </is>
      </c>
      <c r="G852">
        <v>1</v>
      </c>
      <c r="H852" s="2">
        <v>30.0</v>
      </c>
      <c r="I852" t="inlineStr">
        <is>
          <t xml:space="preserve">50% полиэстер, 47% хлопок, 3% эластан</t>
        </is>
      </c>
      <c r="J852"/>
      <c r="K852" t="inlineStr">
        <is>
          <t xml:space="preserve">Бангладеш</t>
        </is>
      </c>
      <c r="L852" t="inlineStr">
        <is>
          <t xml:space="preserve">6105100000</t>
        </is>
      </c>
      <c r="M852" t="inlineStr">
        <is>
          <t xml:space="preserve">Декларация № ЕАЭС № BY/112 11.01. ТР017 122.01 08246, до 19.04.2028</t>
        </is>
      </c>
      <c r="N852" t="inlineStr">
        <is>
          <t xml:space="preserve">35 × 30 × 2</t>
        </is>
      </c>
      <c r="O852" t="inlineStr">
        <is>
          <t xml:space="preserve">0,25</t>
        </is>
      </c>
      <c r="P852" t="inlineStr">
        <is>
          <t xml:space="preserve">4816148133861</t>
        </is>
      </c>
      <c r="Q852" s="3" t="str">
        <f>HYPERLINK("https://modify.by/img/210693161/1.webp","фото")</f>
        <v>фото</v>
      </c>
      <c r="R852" s="3" t="str">
        <f>HYPERLINK("https://modify.by/catalog/polo/210693161/?utm_source=price&amp;utm_medium=xlsx","открыть")</f>
        <v>открыть</v>
      </c>
    </row>
    <row r="853">
      <c r="A853" t="inlineStr">
        <is>
          <t xml:space="preserve">Мужской</t>
        </is>
      </c>
      <c r="B853" t="inlineStr">
        <is>
          <t xml:space="preserve">Поло</t>
        </is>
      </c>
      <c r="C853" t="inlineStr">
        <is>
          <t xml:space="preserve">Футболка поло с коротким рукавом летняя премиум</t>
        </is>
      </c>
      <c r="D853" t="inlineStr">
        <is>
          <t xml:space="preserve">PO32M04сиреневый,черный</t>
        </is>
      </c>
      <c r="E853" t="inlineStr">
        <is>
          <t xml:space="preserve">сиреневый, черный</t>
        </is>
      </c>
      <c r="F853" t="inlineStr">
        <is>
          <t xml:space="preserve">56</t>
        </is>
      </c>
      <c r="G853">
        <v>14</v>
      </c>
      <c r="H853" s="2">
        <v>30.0</v>
      </c>
      <c r="I853" t="inlineStr">
        <is>
          <t xml:space="preserve">50% полиэстер, 47% хлопок, 3% эластан</t>
        </is>
      </c>
      <c r="J853"/>
      <c r="K853" t="inlineStr">
        <is>
          <t xml:space="preserve">Бангладеш</t>
        </is>
      </c>
      <c r="L853" t="inlineStr">
        <is>
          <t xml:space="preserve">6105100000</t>
        </is>
      </c>
      <c r="M853" t="inlineStr">
        <is>
          <t xml:space="preserve">Декларация № ЕАЭС № BY/112 11.01. ТР017 122.01 08246, до 19.04.2028</t>
        </is>
      </c>
      <c r="N853" t="inlineStr">
        <is>
          <t xml:space="preserve">35 × 30 × 2</t>
        </is>
      </c>
      <c r="O853" t="inlineStr">
        <is>
          <t xml:space="preserve">0,25</t>
        </is>
      </c>
      <c r="P853" t="inlineStr">
        <is>
          <t xml:space="preserve">2038096195964</t>
        </is>
      </c>
      <c r="Q853" s="3" t="str">
        <f>HYPERLINK("https://modify.by/img/210693158/1.webp","фото")</f>
        <v>фото</v>
      </c>
      <c r="R853" s="3" t="str">
        <f>HYPERLINK("https://modify.by/catalog/polo/210693158/?utm_source=price&amp;utm_medium=xlsx","открыть")</f>
        <v>открыть</v>
      </c>
    </row>
    <row r="854">
      <c r="A854" t="inlineStr">
        <is>
          <t xml:space="preserve">Мужской</t>
        </is>
      </c>
      <c r="B854" t="inlineStr">
        <is>
          <t xml:space="preserve">Поло</t>
        </is>
      </c>
      <c r="C854" t="inlineStr">
        <is>
          <t xml:space="preserve">Футболка поло с коротким рукавом летняя премиум</t>
        </is>
      </c>
      <c r="D854" t="inlineStr">
        <is>
          <t xml:space="preserve">PO32M04сиреневый,черный</t>
        </is>
      </c>
      <c r="E854" t="inlineStr">
        <is>
          <t xml:space="preserve">сиреневый, черный</t>
        </is>
      </c>
      <c r="F854" t="inlineStr">
        <is>
          <t xml:space="preserve">56</t>
        </is>
      </c>
      <c r="G854">
        <v>14</v>
      </c>
      <c r="H854" s="2">
        <v>30.0</v>
      </c>
      <c r="I854" t="inlineStr">
        <is>
          <t xml:space="preserve">50% полиэстер, 47% хлопок, 3% эластан</t>
        </is>
      </c>
      <c r="J854"/>
      <c r="K854" t="inlineStr">
        <is>
          <t xml:space="preserve">Бангладеш</t>
        </is>
      </c>
      <c r="L854" t="inlineStr">
        <is>
          <t xml:space="preserve">6105100000</t>
        </is>
      </c>
      <c r="M854" t="inlineStr">
        <is>
          <t xml:space="preserve">Декларация № ЕАЭС № BY/112 11.01. ТР017 122.01 08246, до 19.04.2028</t>
        </is>
      </c>
      <c r="N854" t="inlineStr">
        <is>
          <t xml:space="preserve">35 × 30 × 2</t>
        </is>
      </c>
      <c r="O854" t="inlineStr">
        <is>
          <t xml:space="preserve">0,25</t>
        </is>
      </c>
      <c r="P854" t="inlineStr">
        <is>
          <t xml:space="preserve">4816148133915</t>
        </is>
      </c>
      <c r="Q854" s="3" t="str">
        <f>HYPERLINK("https://modify.by/img/210693158/1.webp","фото")</f>
        <v>фото</v>
      </c>
      <c r="R854" s="3" t="str">
        <f>HYPERLINK("https://modify.by/catalog/polo/210693158/?utm_source=price&amp;utm_medium=xlsx","открыть")</f>
        <v>открыть</v>
      </c>
    </row>
    <row r="855">
      <c r="A855" t="inlineStr">
        <is>
          <t xml:space="preserve">Мужской</t>
        </is>
      </c>
      <c r="B855" t="inlineStr">
        <is>
          <t xml:space="preserve">Поло</t>
        </is>
      </c>
      <c r="C855" t="inlineStr">
        <is>
          <t xml:space="preserve">Футболка поло с коротким рукавом летняя премиум</t>
        </is>
      </c>
      <c r="D855" t="inlineStr">
        <is>
          <t xml:space="preserve">PO32M04сиреневый,черный</t>
        </is>
      </c>
      <c r="E855" t="inlineStr">
        <is>
          <t xml:space="preserve">сиреневый, черный</t>
        </is>
      </c>
      <c r="F855" t="inlineStr">
        <is>
          <t xml:space="preserve">58</t>
        </is>
      </c>
      <c r="G855">
        <v>93</v>
      </c>
      <c r="H855" s="2">
        <v>30.0</v>
      </c>
      <c r="I855" t="inlineStr">
        <is>
          <t xml:space="preserve">50% полиэстер, 47% хлопок, 3% эластан</t>
        </is>
      </c>
      <c r="J855"/>
      <c r="K855" t="inlineStr">
        <is>
          <t xml:space="preserve">Бангладеш</t>
        </is>
      </c>
      <c r="L855" t="inlineStr">
        <is>
          <t xml:space="preserve">6105100000</t>
        </is>
      </c>
      <c r="M855" t="inlineStr">
        <is>
          <t xml:space="preserve">Декларация № ЕАЭС № BY/112 11.01. ТР017 122.01 08246, до 19.04.2028</t>
        </is>
      </c>
      <c r="N855" t="inlineStr">
        <is>
          <t xml:space="preserve">35 × 30 × 2</t>
        </is>
      </c>
      <c r="O855" t="inlineStr">
        <is>
          <t xml:space="preserve">0,25</t>
        </is>
      </c>
      <c r="P855" t="inlineStr">
        <is>
          <t xml:space="preserve">2038096195971</t>
        </is>
      </c>
      <c r="Q855" s="3" t="str">
        <f>HYPERLINK("https://modify.by/img/210693158/1.webp","фото")</f>
        <v>фото</v>
      </c>
      <c r="R855" s="3" t="str">
        <f>HYPERLINK("https://modify.by/catalog/polo/210693158/?utm_source=price&amp;utm_medium=xlsx","открыть")</f>
        <v>открыть</v>
      </c>
    </row>
    <row r="856">
      <c r="A856" t="inlineStr">
        <is>
          <t xml:space="preserve">Мужской</t>
        </is>
      </c>
      <c r="B856" t="inlineStr">
        <is>
          <t xml:space="preserve">Поло</t>
        </is>
      </c>
      <c r="C856" t="inlineStr">
        <is>
          <t xml:space="preserve">Футболка поло с коротким рукавом летняя премиум</t>
        </is>
      </c>
      <c r="D856" t="inlineStr">
        <is>
          <t xml:space="preserve">PO32M04сиреневый,черный</t>
        </is>
      </c>
      <c r="E856" t="inlineStr">
        <is>
          <t xml:space="preserve">сиреневый, черный</t>
        </is>
      </c>
      <c r="F856" t="inlineStr">
        <is>
          <t xml:space="preserve">58</t>
        </is>
      </c>
      <c r="G856">
        <v>93</v>
      </c>
      <c r="H856" s="2">
        <v>30.0</v>
      </c>
      <c r="I856" t="inlineStr">
        <is>
          <t xml:space="preserve">50% полиэстер, 47% хлопок, 3% эластан</t>
        </is>
      </c>
      <c r="J856"/>
      <c r="K856" t="inlineStr">
        <is>
          <t xml:space="preserve">Бангладеш</t>
        </is>
      </c>
      <c r="L856" t="inlineStr">
        <is>
          <t xml:space="preserve">6105100000</t>
        </is>
      </c>
      <c r="M856" t="inlineStr">
        <is>
          <t xml:space="preserve">Декларация № ЕАЭС № BY/112 11.01. ТР017 122.01 08246, до 19.04.2028</t>
        </is>
      </c>
      <c r="N856" t="inlineStr">
        <is>
          <t xml:space="preserve">35 × 30 × 2</t>
        </is>
      </c>
      <c r="O856" t="inlineStr">
        <is>
          <t xml:space="preserve">0,25</t>
        </is>
      </c>
      <c r="P856" t="inlineStr">
        <is>
          <t xml:space="preserve">4816148133922</t>
        </is>
      </c>
      <c r="Q856" s="3" t="str">
        <f>HYPERLINK("https://modify.by/img/210693158/1.webp","фото")</f>
        <v>фото</v>
      </c>
      <c r="R856" s="3" t="str">
        <f>HYPERLINK("https://modify.by/catalog/polo/210693158/?utm_source=price&amp;utm_medium=xlsx","открыть")</f>
        <v>открыть</v>
      </c>
    </row>
    <row r="857">
      <c r="A857" t="inlineStr">
        <is>
          <t xml:space="preserve">Мужской</t>
        </is>
      </c>
      <c r="B857" t="inlineStr">
        <is>
          <t xml:space="preserve">Поло</t>
        </is>
      </c>
      <c r="C857" t="inlineStr">
        <is>
          <t xml:space="preserve">Футболка поло с коротким рукавом хлопковая</t>
        </is>
      </c>
      <c r="D857" t="inlineStr">
        <is>
          <t xml:space="preserve">PO32M01черный,белый</t>
        </is>
      </c>
      <c r="E857" t="inlineStr">
        <is>
          <t xml:space="preserve">черный, белый</t>
        </is>
      </c>
      <c r="F857" t="inlineStr">
        <is>
          <t xml:space="preserve">44</t>
        </is>
      </c>
      <c r="G857">
        <v>1</v>
      </c>
      <c r="H857" s="2">
        <v>27.0</v>
      </c>
      <c r="I857" t="inlineStr">
        <is>
          <t xml:space="preserve">100% хлопок</t>
        </is>
      </c>
      <c r="J857"/>
      <c r="K857" t="inlineStr">
        <is>
          <t xml:space="preserve">Бангладеш</t>
        </is>
      </c>
      <c r="L857" t="inlineStr">
        <is>
          <t xml:space="preserve">6105100000</t>
        </is>
      </c>
      <c r="M857" t="inlineStr">
        <is>
          <t xml:space="preserve">Декларация № ЕАЭС № BY/112 11.01. ТР017 122.01 08246, до 19.04.2028</t>
        </is>
      </c>
      <c r="N857" t="inlineStr">
        <is>
          <t xml:space="preserve">35 × 30 × 2</t>
        </is>
      </c>
      <c r="O857" t="inlineStr">
        <is>
          <t xml:space="preserve">0,25</t>
        </is>
      </c>
      <c r="P857" t="inlineStr">
        <is>
          <t xml:space="preserve">2038096197975</t>
        </is>
      </c>
      <c r="Q857" s="3" t="str">
        <f>HYPERLINK("https://modify.by/img/210837381/1.webp","фото")</f>
        <v>фото</v>
      </c>
      <c r="R857" s="3" t="str">
        <f>HYPERLINK("https://modify.by/catalog/polo/210837381/?utm_source=price&amp;utm_medium=xlsx","открыть")</f>
        <v>открыть</v>
      </c>
    </row>
    <row r="858">
      <c r="A858" t="inlineStr">
        <is>
          <t xml:space="preserve">Мужской</t>
        </is>
      </c>
      <c r="B858" t="inlineStr">
        <is>
          <t xml:space="preserve">Пуловеры</t>
        </is>
      </c>
      <c r="C858" t="inlineStr">
        <is>
          <t xml:space="preserve">Пуловер хлопок базовый классический</t>
        </is>
      </c>
      <c r="D858" t="inlineStr">
        <is>
          <t xml:space="preserve">SW32M20Черный</t>
        </is>
      </c>
      <c r="E858" t="inlineStr">
        <is>
          <t xml:space="preserve">черный</t>
        </is>
      </c>
      <c r="F858" t="inlineStr">
        <is>
          <t xml:space="preserve">44</t>
        </is>
      </c>
      <c r="G858">
        <v>3</v>
      </c>
      <c r="H858" s="2">
        <v>28.0</v>
      </c>
      <c r="I858" t="inlineStr">
        <is>
          <t xml:space="preserve">хлопок 100%</t>
        </is>
      </c>
      <c r="J858"/>
      <c r="K858" t="inlineStr">
        <is>
          <t xml:space="preserve">Бангладеш</t>
        </is>
      </c>
      <c r="L858" t="inlineStr">
        <is>
          <t xml:space="preserve">6110209100</t>
        </is>
      </c>
      <c r="M858" t="inlineStr">
        <is>
          <t xml:space="preserve">Декларация № ЕАЭС № BY/112 11.01. ТР017 122.01 08246, до 19.04.2028</t>
        </is>
      </c>
      <c r="N858" t="inlineStr">
        <is>
          <t xml:space="preserve">35 × 28 × 3</t>
        </is>
      </c>
      <c r="O858" t="inlineStr">
        <is>
          <t xml:space="preserve">0,45</t>
        </is>
      </c>
      <c r="P858" t="inlineStr">
        <is>
          <t xml:space="preserve">2026620759256</t>
        </is>
      </c>
      <c r="Q858" s="3" t="str">
        <f>HYPERLINK("https://modify.by/img/162943765/1.webp","фото")</f>
        <v>фото</v>
      </c>
      <c r="R858" s="3" t="str">
        <f>HYPERLINK("https://modify.by/catalog/pulovery/162943765/?utm_source=price&amp;utm_medium=xlsx","открыть")</f>
        <v>открыть</v>
      </c>
    </row>
    <row r="859">
      <c r="A859" t="inlineStr">
        <is>
          <t xml:space="preserve">Мужской</t>
        </is>
      </c>
      <c r="B859" t="inlineStr">
        <is>
          <t xml:space="preserve">Пуловеры</t>
        </is>
      </c>
      <c r="C859" t="inlineStr">
        <is>
          <t xml:space="preserve">Пуловер хлопок базовый классический</t>
        </is>
      </c>
      <c r="D859" t="inlineStr">
        <is>
          <t xml:space="preserve">SW32M20Черный</t>
        </is>
      </c>
      <c r="E859" t="inlineStr">
        <is>
          <t xml:space="preserve">черный</t>
        </is>
      </c>
      <c r="F859" t="inlineStr">
        <is>
          <t xml:space="preserve">44</t>
        </is>
      </c>
      <c r="G859">
        <v>3</v>
      </c>
      <c r="H859" s="2">
        <v>28.0</v>
      </c>
      <c r="I859" t="inlineStr">
        <is>
          <t xml:space="preserve">хлопок 100%</t>
        </is>
      </c>
      <c r="J859"/>
      <c r="K859" t="inlineStr">
        <is>
          <t xml:space="preserve">Бангладеш</t>
        </is>
      </c>
      <c r="L859" t="inlineStr">
        <is>
          <t xml:space="preserve">6110209100</t>
        </is>
      </c>
      <c r="M859" t="inlineStr">
        <is>
          <t xml:space="preserve">Декларация № ЕАЭС № BY/112 11.01. ТР017 122.01 08246, до 19.04.2028</t>
        </is>
      </c>
      <c r="N859" t="inlineStr">
        <is>
          <t xml:space="preserve">35 × 28 × 3</t>
        </is>
      </c>
      <c r="O859" t="inlineStr">
        <is>
          <t xml:space="preserve">0,45</t>
        </is>
      </c>
      <c r="P859" t="inlineStr">
        <is>
          <t xml:space="preserve">4816148139368</t>
        </is>
      </c>
      <c r="Q859" s="3" t="str">
        <f>HYPERLINK("https://modify.by/img/162943765/1.webp","фото")</f>
        <v>фото</v>
      </c>
      <c r="R859" s="3" t="str">
        <f>HYPERLINK("https://modify.by/catalog/pulovery/162943765/?utm_source=price&amp;utm_medium=xlsx","открыть")</f>
        <v>открыть</v>
      </c>
    </row>
    <row r="860">
      <c r="A860" t="inlineStr">
        <is>
          <t xml:space="preserve">Мужской</t>
        </is>
      </c>
      <c r="B860" t="inlineStr">
        <is>
          <t xml:space="preserve">Резиновые сапоги</t>
        </is>
      </c>
      <c r="C860" t="inlineStr">
        <is>
          <t xml:space="preserve">Полусапоги резиновые для рыбалки, туризма без вкладыша</t>
        </is>
      </c>
      <c r="D860" t="inlineStr">
        <is>
          <t xml:space="preserve">2538камуфляж</t>
        </is>
      </c>
      <c r="E860" t="inlineStr">
        <is>
          <t xml:space="preserve">камуфляж</t>
        </is>
      </c>
      <c r="F860" t="inlineStr">
        <is>
          <t xml:space="preserve">41-42</t>
        </is>
      </c>
      <c r="G860">
        <v>4</v>
      </c>
      <c r="H860" s="2">
        <v>49.0</v>
      </c>
      <c r="I860" t="inlineStr">
        <is>
          <t xml:space="preserve">ПВХ</t>
        </is>
      </c>
      <c r="J860" t="inlineStr">
        <is>
          <t xml:space="preserve">демисезон</t>
        </is>
      </c>
      <c r="K860" t="inlineStr">
        <is>
          <t xml:space="preserve">Китай</t>
        </is>
      </c>
      <c r="L860" t="inlineStr">
        <is>
          <t xml:space="preserve">6401929000</t>
        </is>
      </c>
      <c r="M860" t="inlineStr">
        <is>
          <t xml:space="preserve">Декларация № ЕАЭС KG417/533.Д.0004548, до 27.03.2029</t>
        </is>
      </c>
      <c r="N860" t="inlineStr">
        <is>
          <t xml:space="preserve">34 × 29 × 15</t>
        </is>
      </c>
      <c r="O860" t="inlineStr">
        <is>
          <t xml:space="preserve">0,65</t>
        </is>
      </c>
      <c r="P860" t="inlineStr">
        <is>
          <t xml:space="preserve">4816148169167</t>
        </is>
      </c>
      <c r="Q860" s="3" t="str">
        <f>HYPERLINK("https://modify.by/img/585352745/1.webp","фото")</f>
        <v>фото</v>
      </c>
      <c r="R860" s="3" t="str">
        <f>HYPERLINK("https://modify.by/catalog/rezinovye-sapogi/585352745/?utm_source=price&amp;utm_medium=xlsx","открыть")</f>
        <v>открыть</v>
      </c>
    </row>
    <row r="861">
      <c r="A861" t="inlineStr">
        <is>
          <t xml:space="preserve">Мужской</t>
        </is>
      </c>
      <c r="B861" t="inlineStr">
        <is>
          <t xml:space="preserve">Резиновые сапоги</t>
        </is>
      </c>
      <c r="C861" t="inlineStr">
        <is>
          <t xml:space="preserve">Полусапоги резиновые для рыбалки, туризма без вкладыша</t>
        </is>
      </c>
      <c r="D861" t="inlineStr">
        <is>
          <t xml:space="preserve">2538камуфляж</t>
        </is>
      </c>
      <c r="E861" t="inlineStr">
        <is>
          <t xml:space="preserve">камуфляж</t>
        </is>
      </c>
      <c r="F861" t="inlineStr">
        <is>
          <t xml:space="preserve">42-43</t>
        </is>
      </c>
      <c r="G861">
        <v>2</v>
      </c>
      <c r="H861" s="2">
        <v>49.0</v>
      </c>
      <c r="I861" t="inlineStr">
        <is>
          <t xml:space="preserve">ПВХ</t>
        </is>
      </c>
      <c r="J861" t="inlineStr">
        <is>
          <t xml:space="preserve">демисезон</t>
        </is>
      </c>
      <c r="K861" t="inlineStr">
        <is>
          <t xml:space="preserve">Китай</t>
        </is>
      </c>
      <c r="L861" t="inlineStr">
        <is>
          <t xml:space="preserve">6401929000</t>
        </is>
      </c>
      <c r="M861" t="inlineStr">
        <is>
          <t xml:space="preserve">Декларация № ЕАЭС KG417/533.Д.0004548, до 27.03.2029</t>
        </is>
      </c>
      <c r="N861" t="inlineStr">
        <is>
          <t xml:space="preserve">34 × 29 × 15</t>
        </is>
      </c>
      <c r="O861" t="inlineStr">
        <is>
          <t xml:space="preserve">0,65</t>
        </is>
      </c>
      <c r="P861" t="inlineStr">
        <is>
          <t xml:space="preserve">4816148182418</t>
        </is>
      </c>
      <c r="Q861" s="3" t="str">
        <f>HYPERLINK("https://modify.by/img/585352745/1.webp","фото")</f>
        <v>фото</v>
      </c>
      <c r="R861" s="3" t="str">
        <f>HYPERLINK("https://modify.by/catalog/rezinovye-sapogi/585352745/?utm_source=price&amp;utm_medium=xlsx","открыть")</f>
        <v>открыть</v>
      </c>
    </row>
    <row r="862">
      <c r="A862" t="inlineStr">
        <is>
          <t xml:space="preserve">Мужской</t>
        </is>
      </c>
      <c r="B862" t="inlineStr">
        <is>
          <t xml:space="preserve">Резиновые сапоги</t>
        </is>
      </c>
      <c r="C862" t="inlineStr">
        <is>
          <t xml:space="preserve">Полусапоги резиновые для рыбалки, туризма без вкладыша</t>
        </is>
      </c>
      <c r="D862" t="inlineStr">
        <is>
          <t xml:space="preserve">2538камуфляж</t>
        </is>
      </c>
      <c r="E862" t="inlineStr">
        <is>
          <t xml:space="preserve">камуфляж</t>
        </is>
      </c>
      <c r="F862" t="inlineStr">
        <is>
          <t xml:space="preserve">43-44</t>
        </is>
      </c>
      <c r="G862">
        <v>6</v>
      </c>
      <c r="H862" s="2">
        <v>49.0</v>
      </c>
      <c r="I862" t="inlineStr">
        <is>
          <t xml:space="preserve">ПВХ</t>
        </is>
      </c>
      <c r="J862" t="inlineStr">
        <is>
          <t xml:space="preserve">демисезон</t>
        </is>
      </c>
      <c r="K862" t="inlineStr">
        <is>
          <t xml:space="preserve">Китай</t>
        </is>
      </c>
      <c r="L862" t="inlineStr">
        <is>
          <t xml:space="preserve">6401929000</t>
        </is>
      </c>
      <c r="M862" t="inlineStr">
        <is>
          <t xml:space="preserve">Декларация № ЕАЭС KG417/533.Д.0004548, до 27.03.2029</t>
        </is>
      </c>
      <c r="N862" t="inlineStr">
        <is>
          <t xml:space="preserve">34 × 29 × 15</t>
        </is>
      </c>
      <c r="O862" t="inlineStr">
        <is>
          <t xml:space="preserve">0,65</t>
        </is>
      </c>
      <c r="P862" t="inlineStr">
        <is>
          <t xml:space="preserve">4816148182425</t>
        </is>
      </c>
      <c r="Q862" s="3" t="str">
        <f>HYPERLINK("https://modify.by/img/585352745/1.webp","фото")</f>
        <v>фото</v>
      </c>
      <c r="R862" s="3" t="str">
        <f>HYPERLINK("https://modify.by/catalog/rezinovye-sapogi/585352745/?utm_source=price&amp;utm_medium=xlsx","открыть")</f>
        <v>открыть</v>
      </c>
    </row>
    <row r="863">
      <c r="A863" t="inlineStr">
        <is>
          <t xml:space="preserve">Мужской</t>
        </is>
      </c>
      <c r="B863" t="inlineStr">
        <is>
          <t xml:space="preserve">Резиновые сапоги</t>
        </is>
      </c>
      <c r="C863" t="inlineStr">
        <is>
          <t xml:space="preserve">Полусапоги резиновые для рыбалки, туризма без вкладыша</t>
        </is>
      </c>
      <c r="D863" t="inlineStr">
        <is>
          <t xml:space="preserve">2538камуфляж</t>
        </is>
      </c>
      <c r="E863" t="inlineStr">
        <is>
          <t xml:space="preserve">камуфляж</t>
        </is>
      </c>
      <c r="F863" t="inlineStr">
        <is>
          <t xml:space="preserve">44-45</t>
        </is>
      </c>
      <c r="G863">
        <v>3</v>
      </c>
      <c r="H863" s="2">
        <v>49.0</v>
      </c>
      <c r="I863" t="inlineStr">
        <is>
          <t xml:space="preserve">ПВХ</t>
        </is>
      </c>
      <c r="J863" t="inlineStr">
        <is>
          <t xml:space="preserve">демисезон</t>
        </is>
      </c>
      <c r="K863" t="inlineStr">
        <is>
          <t xml:space="preserve">Китай</t>
        </is>
      </c>
      <c r="L863" t="inlineStr">
        <is>
          <t xml:space="preserve">6401929000</t>
        </is>
      </c>
      <c r="M863" t="inlineStr">
        <is>
          <t xml:space="preserve">Декларация № ЕАЭС KG417/533.Д.0004548, до 27.03.2029</t>
        </is>
      </c>
      <c r="N863" t="inlineStr">
        <is>
          <t xml:space="preserve">34 × 29 × 15</t>
        </is>
      </c>
      <c r="O863" t="inlineStr">
        <is>
          <t xml:space="preserve">0,65</t>
        </is>
      </c>
      <c r="P863" t="inlineStr">
        <is>
          <t xml:space="preserve">4816148182432</t>
        </is>
      </c>
      <c r="Q863" s="3" t="str">
        <f>HYPERLINK("https://modify.by/img/585352745/1.webp","фото")</f>
        <v>фото</v>
      </c>
      <c r="R863" s="3" t="str">
        <f>HYPERLINK("https://modify.by/catalog/rezinovye-sapogi/585352745/?utm_source=price&amp;utm_medium=xlsx","открыть")</f>
        <v>открыть</v>
      </c>
    </row>
    <row r="864">
      <c r="A864" t="inlineStr">
        <is>
          <t xml:space="preserve">Мужской</t>
        </is>
      </c>
      <c r="B864" t="inlineStr">
        <is>
          <t xml:space="preserve">Резиновые сапоги</t>
        </is>
      </c>
      <c r="C864" t="inlineStr">
        <is>
          <t xml:space="preserve">Сапоги непромокаемые высокие для рыбалки леса и дачи</t>
        </is>
      </c>
      <c r="D864" t="inlineStr">
        <is>
          <t xml:space="preserve">3306черный,красный</t>
        </is>
      </c>
      <c r="E864" t="inlineStr">
        <is>
          <t xml:space="preserve">красный, черный</t>
        </is>
      </c>
      <c r="F864" t="inlineStr">
        <is>
          <t xml:space="preserve">44</t>
        </is>
      </c>
      <c r="G864">
        <v>1</v>
      </c>
      <c r="H864" s="2">
        <v>58.0</v>
      </c>
      <c r="I864" t="inlineStr">
        <is>
          <t xml:space="preserve">ПВХ 100%</t>
        </is>
      </c>
      <c r="J864" t="inlineStr">
        <is>
          <t xml:space="preserve">демисезон</t>
        </is>
      </c>
      <c r="K864" t="inlineStr">
        <is>
          <t xml:space="preserve">Китай</t>
        </is>
      </c>
      <c r="L864" t="inlineStr">
        <is>
          <t xml:space="preserve">6401929000</t>
        </is>
      </c>
      <c r="M864" t="inlineStr">
        <is>
          <t xml:space="preserve">Декларация № ЕАЭС KG417/533.Д.0004548, до 27.03.2029</t>
        </is>
      </c>
      <c r="N864" t="inlineStr">
        <is>
          <t xml:space="preserve">54 × 30 × 10</t>
        </is>
      </c>
      <c r="O864" t="inlineStr">
        <is>
          <t xml:space="preserve">1,65</t>
        </is>
      </c>
      <c r="P864" t="inlineStr">
        <is>
          <t xml:space="preserve">4816148100399</t>
        </is>
      </c>
      <c r="Q864" s="3" t="str">
        <f>HYPERLINK("https://modify.by/img/227803966/1.webp","фото")</f>
        <v>фото</v>
      </c>
      <c r="R864" s="3" t="str">
        <f>HYPERLINK("https://modify.by/catalog/rezinovye-sapogi/227803966/?utm_source=price&amp;utm_medium=xlsx","открыть")</f>
        <v>открыть</v>
      </c>
    </row>
    <row r="865">
      <c r="A865" t="inlineStr">
        <is>
          <t xml:space="preserve">Мужской</t>
        </is>
      </c>
      <c r="B865" t="inlineStr">
        <is>
          <t xml:space="preserve">Резиновые сапоги</t>
        </is>
      </c>
      <c r="C865" t="inlineStr">
        <is>
          <t xml:space="preserve">Сапоги непромокаемые высокие для рыбалки леса и дачи</t>
        </is>
      </c>
      <c r="D865" t="inlineStr">
        <is>
          <t xml:space="preserve">3306черный,красный</t>
        </is>
      </c>
      <c r="E865" t="inlineStr">
        <is>
          <t xml:space="preserve">красный, черный</t>
        </is>
      </c>
      <c r="F865" t="inlineStr">
        <is>
          <t xml:space="preserve">46</t>
        </is>
      </c>
      <c r="G865">
        <v>5</v>
      </c>
      <c r="H865" s="2">
        <v>58.0</v>
      </c>
      <c r="I865" t="inlineStr">
        <is>
          <t xml:space="preserve">ПВХ 100%</t>
        </is>
      </c>
      <c r="J865" t="inlineStr">
        <is>
          <t xml:space="preserve">демисезон</t>
        </is>
      </c>
      <c r="K865" t="inlineStr">
        <is>
          <t xml:space="preserve">Китай</t>
        </is>
      </c>
      <c r="L865" t="inlineStr">
        <is>
          <t xml:space="preserve">6401929000</t>
        </is>
      </c>
      <c r="M865" t="inlineStr">
        <is>
          <t xml:space="preserve">Декларация № ЕАЭС KG417/533.Д.0004548, до 27.03.2029</t>
        </is>
      </c>
      <c r="N865" t="inlineStr">
        <is>
          <t xml:space="preserve">54 × 30 × 10</t>
        </is>
      </c>
      <c r="O865" t="inlineStr">
        <is>
          <t xml:space="preserve">1,65</t>
        </is>
      </c>
      <c r="P865" t="inlineStr">
        <is>
          <t xml:space="preserve">4816148169105</t>
        </is>
      </c>
      <c r="Q865" s="3" t="str">
        <f>HYPERLINK("https://modify.by/img/227803966/1.webp","фото")</f>
        <v>фото</v>
      </c>
      <c r="R865" s="3" t="str">
        <f>HYPERLINK("https://modify.by/catalog/rezinovye-sapogi/227803966/?utm_source=price&amp;utm_medium=xlsx","открыть")</f>
        <v>открыть</v>
      </c>
    </row>
    <row r="866">
      <c r="A866" t="inlineStr">
        <is>
          <t xml:space="preserve">Мужской</t>
        </is>
      </c>
      <c r="B866" t="inlineStr">
        <is>
          <t xml:space="preserve">Резиновые сапоги</t>
        </is>
      </c>
      <c r="C866" t="inlineStr">
        <is>
          <t xml:space="preserve">Сапоги непромокаемые высокие для рыбалки леса и дачи</t>
        </is>
      </c>
      <c r="D866" t="inlineStr">
        <is>
          <t xml:space="preserve">3306черный,красный</t>
        </is>
      </c>
      <c r="E866" t="inlineStr">
        <is>
          <t xml:space="preserve">красный, черный</t>
        </is>
      </c>
      <c r="F866" t="inlineStr">
        <is>
          <t xml:space="preserve">48</t>
        </is>
      </c>
      <c r="G866">
        <v>1</v>
      </c>
      <c r="H866" s="2">
        <v>58.0</v>
      </c>
      <c r="I866" t="inlineStr">
        <is>
          <t xml:space="preserve">ПВХ 100%</t>
        </is>
      </c>
      <c r="J866" t="inlineStr">
        <is>
          <t xml:space="preserve">демисезон</t>
        </is>
      </c>
      <c r="K866" t="inlineStr">
        <is>
          <t xml:space="preserve">Китай</t>
        </is>
      </c>
      <c r="L866" t="inlineStr">
        <is>
          <t xml:space="preserve">6401929000</t>
        </is>
      </c>
      <c r="M866" t="inlineStr">
        <is>
          <t xml:space="preserve">Декларация № ЕАЭС KG417/533.Д.0004548, до 27.03.2029</t>
        </is>
      </c>
      <c r="N866" t="inlineStr">
        <is>
          <t xml:space="preserve">54 × 30 × 10</t>
        </is>
      </c>
      <c r="O866" t="inlineStr">
        <is>
          <t xml:space="preserve">1,65</t>
        </is>
      </c>
      <c r="P866" t="inlineStr">
        <is>
          <t xml:space="preserve">4816148169129</t>
        </is>
      </c>
      <c r="Q866" s="3" t="str">
        <f>HYPERLINK("https://modify.by/img/227803966/1.webp","фото")</f>
        <v>фото</v>
      </c>
      <c r="R866" s="3" t="str">
        <f>HYPERLINK("https://modify.by/catalog/rezinovye-sapogi/227803966/?utm_source=price&amp;utm_medium=xlsx","открыть")</f>
        <v>открыть</v>
      </c>
    </row>
    <row r="867">
      <c r="A867" t="inlineStr">
        <is>
          <t xml:space="preserve">Мужской</t>
        </is>
      </c>
      <c r="B867" t="inlineStr">
        <is>
          <t xml:space="preserve">Резиновые сапоги</t>
        </is>
      </c>
      <c r="C867" t="inlineStr">
        <is>
          <t xml:space="preserve">Сапоги непромокаемые короткие ЭВА, черный, арт. XD-528черный37</t>
        </is>
      </c>
      <c r="D867" t="inlineStr">
        <is>
          <t xml:space="preserve">XD-528черный37</t>
        </is>
      </c>
      <c r="E867" t="inlineStr">
        <is>
          <t xml:space="preserve">черный</t>
        </is>
      </c>
      <c r="F867" t="inlineStr">
        <is>
          <t xml:space="preserve">38</t>
        </is>
      </c>
      <c r="G867">
        <v>1</v>
      </c>
      <c r="H867" s="2">
        <v>30.0</v>
      </c>
      <c r="I867" t="inlineStr">
        <is>
          <t xml:space="preserve">ПВХ 100%</t>
        </is>
      </c>
      <c r="J867" t="inlineStr">
        <is>
          <t xml:space="preserve">демисезон</t>
        </is>
      </c>
      <c r="K867" t="inlineStr">
        <is>
          <t xml:space="preserve">Китай</t>
        </is>
      </c>
      <c r="L867" t="inlineStr">
        <is>
          <t xml:space="preserve">6401929000</t>
        </is>
      </c>
      <c r="M867" t="inlineStr">
        <is>
          <t xml:space="preserve">по запросу</t>
        </is>
      </c>
      <c r="N867" t="inlineStr">
        <is>
          <t xml:space="preserve">33 × 30 × 10</t>
        </is>
      </c>
      <c r="O867" t="inlineStr">
        <is>
          <t xml:space="preserve">0,66</t>
        </is>
      </c>
      <c r="P867" t="inlineStr">
        <is>
          <t xml:space="preserve">4816148100054</t>
        </is>
      </c>
      <c r="Q867" s="3" t="str">
        <f>HYPERLINK("https://modify.by/img/227804015/1.webp","фото")</f>
        <v>фото</v>
      </c>
      <c r="R867" s="3" t="str">
        <f>HYPERLINK("https://modify.by/catalog/rezinovye-sapogi/227804015/?utm_source=price&amp;utm_medium=xlsx","открыть")</f>
        <v>открыть</v>
      </c>
    </row>
    <row r="868">
      <c r="A868" t="inlineStr">
        <is>
          <t xml:space="preserve">Мужской</t>
        </is>
      </c>
      <c r="B868" t="inlineStr">
        <is>
          <t xml:space="preserve">Рубашки</t>
        </is>
      </c>
      <c r="C868" t="inlineStr">
        <is>
          <t xml:space="preserve">Камис мусульманский рубашка туника для намаза, полынь</t>
        </is>
      </c>
      <c r="D868" t="inlineStr">
        <is>
          <t xml:space="preserve">T3TU52M02_полынь</t>
        </is>
      </c>
      <c r="E868" t="inlineStr">
        <is>
          <t xml:space="preserve">полынь, светло серо-зеленый</t>
        </is>
      </c>
      <c r="F868" t="inlineStr">
        <is>
          <t xml:space="preserve">54</t>
        </is>
      </c>
      <c r="G868">
        <v>35</v>
      </c>
      <c r="H868" s="2">
        <v>46.0</v>
      </c>
      <c r="I868" t="inlineStr">
        <is>
          <t xml:space="preserve">полиэстeр, хлопок</t>
        </is>
      </c>
      <c r="J868"/>
      <c r="K868" t="inlineStr">
        <is>
          <t xml:space="preserve">Китай</t>
        </is>
      </c>
      <c r="L868" t="inlineStr">
        <is>
          <t xml:space="preserve">6205200000</t>
        </is>
      </c>
      <c r="M868" t="inlineStr">
        <is>
          <t xml:space="preserve">Декларация № ЕАЭС N RU Д-CN.РА02.В.44039/24, до 28.02.2029</t>
        </is>
      </c>
      <c r="N868" t="inlineStr">
        <is>
          <t xml:space="preserve">33 × 26 × 2</t>
        </is>
      </c>
      <c r="O868" t="inlineStr">
        <is>
          <t xml:space="preserve">0,34</t>
        </is>
      </c>
      <c r="P868" t="inlineStr">
        <is>
          <t xml:space="preserve">4816148183491</t>
        </is>
      </c>
      <c r="Q868" s="3" t="str">
        <f>HYPERLINK("https://modify.by/img/1127737545/1.webp","фото")</f>
        <v>фото</v>
      </c>
      <c r="R868" s="3" t="str">
        <f>HYPERLINK("https://modify.by/catalog/rubashki/1127737545/?utm_source=price&amp;utm_medium=xlsx","открыть")</f>
        <v>открыть</v>
      </c>
    </row>
    <row r="869">
      <c r="A869" t="inlineStr">
        <is>
          <t xml:space="preserve">Мужской</t>
        </is>
      </c>
      <c r="B869" t="inlineStr">
        <is>
          <t xml:space="preserve">Рубашки</t>
        </is>
      </c>
      <c r="C869" t="inlineStr">
        <is>
          <t xml:space="preserve">Камис мусульманский рубашка туника для намаза, черный</t>
        </is>
      </c>
      <c r="D869" t="inlineStr">
        <is>
          <t xml:space="preserve">T3TU52M02_черный</t>
        </is>
      </c>
      <c r="E869" t="inlineStr">
        <is>
          <t xml:space="preserve">черный</t>
        </is>
      </c>
      <c r="F869" t="inlineStr">
        <is>
          <t xml:space="preserve">54</t>
        </is>
      </c>
      <c r="G869">
        <v>12</v>
      </c>
      <c r="H869" s="2">
        <v>46.0</v>
      </c>
      <c r="I869" t="inlineStr">
        <is>
          <t xml:space="preserve">полиэстeр, хлопок</t>
        </is>
      </c>
      <c r="J869"/>
      <c r="K869" t="inlineStr">
        <is>
          <t xml:space="preserve">Китай</t>
        </is>
      </c>
      <c r="L869" t="inlineStr">
        <is>
          <t xml:space="preserve">6205200000</t>
        </is>
      </c>
      <c r="M869" t="inlineStr">
        <is>
          <t xml:space="preserve">Декларация № ЕАЭС N RU Д-CN.РА02.В.44039/24, до 28.02.2029</t>
        </is>
      </c>
      <c r="N869" t="inlineStr">
        <is>
          <t xml:space="preserve">33 × 26 × 2</t>
        </is>
      </c>
      <c r="O869" t="inlineStr">
        <is>
          <t xml:space="preserve">0,34</t>
        </is>
      </c>
      <c r="P869" t="inlineStr">
        <is>
          <t xml:space="preserve">4816148183460</t>
        </is>
      </c>
      <c r="Q869" s="3" t="str">
        <f>HYPERLINK("https://modify.by/img/1131506176/1.webp","фото")</f>
        <v>фото</v>
      </c>
      <c r="R869" s="3" t="str">
        <f>HYPERLINK("https://modify.by/catalog/rubashki/1131506176/?utm_source=price&amp;utm_medium=xlsx","открыть")</f>
        <v>открыть</v>
      </c>
    </row>
    <row r="870">
      <c r="A870" t="inlineStr">
        <is>
          <t xml:space="preserve">Мужской</t>
        </is>
      </c>
      <c r="B870" t="inlineStr">
        <is>
          <t xml:space="preserve">Рубашки</t>
        </is>
      </c>
      <c r="C870" t="inlineStr">
        <is>
          <t xml:space="preserve">Рубашка в клетку фланелевая хлопковая свободного кроя, белый</t>
        </is>
      </c>
      <c r="D870" t="inlineStr">
        <is>
          <t xml:space="preserve">SH32M13белый,бордовый</t>
        </is>
      </c>
      <c r="E870" t="inlineStr">
        <is>
          <t xml:space="preserve">белый, бордовый</t>
        </is>
      </c>
      <c r="F870" t="inlineStr">
        <is>
          <t xml:space="preserve">44</t>
        </is>
      </c>
      <c r="G870">
        <v>14</v>
      </c>
      <c r="H870" s="2">
        <v>34.0</v>
      </c>
      <c r="I870" t="inlineStr">
        <is>
          <t xml:space="preserve">хлопок 100%</t>
        </is>
      </c>
      <c r="J870"/>
      <c r="K870" t="inlineStr">
        <is>
          <t xml:space="preserve">Бангладеш</t>
        </is>
      </c>
      <c r="L870" t="inlineStr">
        <is>
          <t xml:space="preserve">6205200000</t>
        </is>
      </c>
      <c r="M870" t="inlineStr">
        <is>
          <t xml:space="preserve">Декларация № ЕАЭС № BY/112 11.01. ТР017 122.01 08246, до 19.04.2028</t>
        </is>
      </c>
      <c r="N870" t="inlineStr">
        <is>
          <t xml:space="preserve">38 × 31 × 2</t>
        </is>
      </c>
      <c r="O870" t="inlineStr">
        <is>
          <t xml:space="preserve">0,35</t>
        </is>
      </c>
      <c r="P870" t="inlineStr">
        <is>
          <t xml:space="preserve">2038096181479</t>
        </is>
      </c>
      <c r="Q870" s="3" t="str">
        <f>HYPERLINK("https://modify.by/img/187544025/1.webp","фото")</f>
        <v>фото</v>
      </c>
      <c r="R870" s="3" t="str">
        <f>HYPERLINK("https://modify.by/catalog/rubashki/187544025/?utm_source=price&amp;utm_medium=xlsx","открыть")</f>
        <v>открыть</v>
      </c>
    </row>
    <row r="871">
      <c r="A871" t="inlineStr">
        <is>
          <t xml:space="preserve">Мужской</t>
        </is>
      </c>
      <c r="B871" t="inlineStr">
        <is>
          <t xml:space="preserve">Рубашки</t>
        </is>
      </c>
      <c r="C871" t="inlineStr">
        <is>
          <t xml:space="preserve">Рубашка в клетку фланелевая хлопковая свободного кроя, белый</t>
        </is>
      </c>
      <c r="D871" t="inlineStr">
        <is>
          <t xml:space="preserve">SH32M13белый,бордовый</t>
        </is>
      </c>
      <c r="E871" t="inlineStr">
        <is>
          <t xml:space="preserve">белый, бордовый</t>
        </is>
      </c>
      <c r="F871" t="inlineStr">
        <is>
          <t xml:space="preserve">44</t>
        </is>
      </c>
      <c r="G871">
        <v>14</v>
      </c>
      <c r="H871" s="2">
        <v>34.0</v>
      </c>
      <c r="I871" t="inlineStr">
        <is>
          <t xml:space="preserve">хлопок 100%</t>
        </is>
      </c>
      <c r="J871"/>
      <c r="K871" t="inlineStr">
        <is>
          <t xml:space="preserve">Бангладеш</t>
        </is>
      </c>
      <c r="L871" t="inlineStr">
        <is>
          <t xml:space="preserve">6205200000</t>
        </is>
      </c>
      <c r="M871" t="inlineStr">
        <is>
          <t xml:space="preserve">Декларация № ЕАЭС № BY/112 11.01. ТР017 122.01 08246, до 19.04.2028</t>
        </is>
      </c>
      <c r="N871" t="inlineStr">
        <is>
          <t xml:space="preserve">38 × 31 × 2</t>
        </is>
      </c>
      <c r="O871" t="inlineStr">
        <is>
          <t xml:space="preserve">0,35</t>
        </is>
      </c>
      <c r="P871" t="inlineStr">
        <is>
          <t xml:space="preserve">4816148109484</t>
        </is>
      </c>
      <c r="Q871" s="3" t="str">
        <f>HYPERLINK("https://modify.by/img/187544025/1.webp","фото")</f>
        <v>фото</v>
      </c>
      <c r="R871" s="3" t="str">
        <f>HYPERLINK("https://modify.by/catalog/rubashki/187544025/?utm_source=price&amp;utm_medium=xlsx","открыть")</f>
        <v>открыть</v>
      </c>
    </row>
    <row r="872">
      <c r="A872" t="inlineStr">
        <is>
          <t xml:space="preserve">Мужской</t>
        </is>
      </c>
      <c r="B872" t="inlineStr">
        <is>
          <t xml:space="preserve">Рубашки</t>
        </is>
      </c>
      <c r="C872" t="inlineStr">
        <is>
          <t xml:space="preserve">Рубашка в клетку фланелевая хлопковая свободного кроя, белый</t>
        </is>
      </c>
      <c r="D872" t="inlineStr">
        <is>
          <t xml:space="preserve">SH32M13белый,бордовый</t>
        </is>
      </c>
      <c r="E872" t="inlineStr">
        <is>
          <t xml:space="preserve">белый, бордовый</t>
        </is>
      </c>
      <c r="F872" t="inlineStr">
        <is>
          <t xml:space="preserve">46</t>
        </is>
      </c>
      <c r="G872">
        <v>1</v>
      </c>
      <c r="H872" s="2">
        <v>34.0</v>
      </c>
      <c r="I872" t="inlineStr">
        <is>
          <t xml:space="preserve">хлопок 100%</t>
        </is>
      </c>
      <c r="J872"/>
      <c r="K872" t="inlineStr">
        <is>
          <t xml:space="preserve">Бангладеш</t>
        </is>
      </c>
      <c r="L872" t="inlineStr">
        <is>
          <t xml:space="preserve">6205200000</t>
        </is>
      </c>
      <c r="M872" t="inlineStr">
        <is>
          <t xml:space="preserve">Декларация № ЕАЭС № BY/112 11.01. ТР017 122.01 08246, до 19.04.2028</t>
        </is>
      </c>
      <c r="N872" t="inlineStr">
        <is>
          <t xml:space="preserve">38 × 31 × 2</t>
        </is>
      </c>
      <c r="O872" t="inlineStr">
        <is>
          <t xml:space="preserve">0,35</t>
        </is>
      </c>
      <c r="P872" t="inlineStr">
        <is>
          <t xml:space="preserve">2038096181486</t>
        </is>
      </c>
      <c r="Q872" s="3" t="str">
        <f>HYPERLINK("https://modify.by/img/187544025/1.webp","фото")</f>
        <v>фото</v>
      </c>
      <c r="R872" s="3" t="str">
        <f>HYPERLINK("https://modify.by/catalog/rubashki/187544025/?utm_source=price&amp;utm_medium=xlsx","открыть")</f>
        <v>открыть</v>
      </c>
    </row>
    <row r="873">
      <c r="A873" t="inlineStr">
        <is>
          <t xml:space="preserve">Мужской</t>
        </is>
      </c>
      <c r="B873" t="inlineStr">
        <is>
          <t xml:space="preserve">Рубашки</t>
        </is>
      </c>
      <c r="C873" t="inlineStr">
        <is>
          <t xml:space="preserve">Рубашка в клетку фланелевая хлопковая свободного кроя, белый</t>
        </is>
      </c>
      <c r="D873" t="inlineStr">
        <is>
          <t xml:space="preserve">SH32M13белый,бордовый</t>
        </is>
      </c>
      <c r="E873" t="inlineStr">
        <is>
          <t xml:space="preserve">белый, бордовый</t>
        </is>
      </c>
      <c r="F873" t="inlineStr">
        <is>
          <t xml:space="preserve">46</t>
        </is>
      </c>
      <c r="G873">
        <v>1</v>
      </c>
      <c r="H873" s="2">
        <v>34.0</v>
      </c>
      <c r="I873" t="inlineStr">
        <is>
          <t xml:space="preserve">хлопок 100%</t>
        </is>
      </c>
      <c r="J873"/>
      <c r="K873" t="inlineStr">
        <is>
          <t xml:space="preserve">Бангладеш</t>
        </is>
      </c>
      <c r="L873" t="inlineStr">
        <is>
          <t xml:space="preserve">6205200000</t>
        </is>
      </c>
      <c r="M873" t="inlineStr">
        <is>
          <t xml:space="preserve">Декларация № ЕАЭС № BY/112 11.01. ТР017 122.01 08246, до 19.04.2028</t>
        </is>
      </c>
      <c r="N873" t="inlineStr">
        <is>
          <t xml:space="preserve">38 × 31 × 2</t>
        </is>
      </c>
      <c r="O873" t="inlineStr">
        <is>
          <t xml:space="preserve">0,35</t>
        </is>
      </c>
      <c r="P873" t="inlineStr">
        <is>
          <t xml:space="preserve">4816148109491</t>
        </is>
      </c>
      <c r="Q873" s="3" t="str">
        <f>HYPERLINK("https://modify.by/img/187544025/1.webp","фото")</f>
        <v>фото</v>
      </c>
      <c r="R873" s="3" t="str">
        <f>HYPERLINK("https://modify.by/catalog/rubashki/187544025/?utm_source=price&amp;utm_medium=xlsx","открыть")</f>
        <v>открыть</v>
      </c>
    </row>
    <row r="874">
      <c r="A874" t="inlineStr">
        <is>
          <t xml:space="preserve">Мужской</t>
        </is>
      </c>
      <c r="B874" t="inlineStr">
        <is>
          <t xml:space="preserve">Рубашки</t>
        </is>
      </c>
      <c r="C874" t="inlineStr">
        <is>
          <t xml:space="preserve">Рубашка в клетку фланелевая хлопковая свободного кроя, бирюзовый</t>
        </is>
      </c>
      <c r="D874" t="inlineStr">
        <is>
          <t xml:space="preserve">SH42M01бирюзовый,оранжевый</t>
        </is>
      </c>
      <c r="E874" t="inlineStr">
        <is>
          <t xml:space="preserve">бирюзовый, оранжевый</t>
        </is>
      </c>
      <c r="F874" t="inlineStr">
        <is>
          <t xml:space="preserve">48</t>
        </is>
      </c>
      <c r="G874">
        <v>12</v>
      </c>
      <c r="H874" s="2">
        <v>33.0</v>
      </c>
      <c r="I874" t="inlineStr">
        <is>
          <t xml:space="preserve">хлопок 100%</t>
        </is>
      </c>
      <c r="J874"/>
      <c r="K874" t="inlineStr">
        <is>
          <t xml:space="preserve">Бангладеш</t>
        </is>
      </c>
      <c r="L874" t="inlineStr">
        <is>
          <t xml:space="preserve">6205200000</t>
        </is>
      </c>
      <c r="M874" t="inlineStr">
        <is>
          <t xml:space="preserve">Декларация № ЕАЭС № BY/112 11.01. ТР017 122.01 08246, до 19.04.2028</t>
        </is>
      </c>
      <c r="N874" t="inlineStr">
        <is>
          <t xml:space="preserve">35 × 28 × 3</t>
        </is>
      </c>
      <c r="O874" t="inlineStr">
        <is>
          <t xml:space="preserve">0,45</t>
        </is>
      </c>
      <c r="P874" t="inlineStr">
        <is>
          <t xml:space="preserve">4816148106452</t>
        </is>
      </c>
      <c r="Q874" s="3" t="str">
        <f>HYPERLINK("https://modify.by/img/239188172/1.webp","фото")</f>
        <v>фото</v>
      </c>
      <c r="R874" s="3" t="str">
        <f>HYPERLINK("https://modify.by/catalog/rubashki/239188172/?utm_source=price&amp;utm_medium=xlsx","открыть")</f>
        <v>открыть</v>
      </c>
    </row>
    <row r="875">
      <c r="A875" t="inlineStr">
        <is>
          <t xml:space="preserve">Мужской</t>
        </is>
      </c>
      <c r="B875" t="inlineStr">
        <is>
          <t xml:space="preserve">Рубашки</t>
        </is>
      </c>
      <c r="C875" t="inlineStr">
        <is>
          <t xml:space="preserve">Рубашка в клетку фланелевая хлопковая свободного кроя, голубой</t>
        </is>
      </c>
      <c r="D875" t="inlineStr">
        <is>
          <t xml:space="preserve">SH32M13голубой,зеленый</t>
        </is>
      </c>
      <c r="E875" t="inlineStr">
        <is>
          <t xml:space="preserve">голубой, зеленый</t>
        </is>
      </c>
      <c r="F875" t="inlineStr">
        <is>
          <t xml:space="preserve">44</t>
        </is>
      </c>
      <c r="G875">
        <v>4</v>
      </c>
      <c r="H875" s="2">
        <v>34.0</v>
      </c>
      <c r="I875" t="inlineStr">
        <is>
          <t xml:space="preserve">хлопок 100%</t>
        </is>
      </c>
      <c r="J875"/>
      <c r="K875" t="inlineStr">
        <is>
          <t xml:space="preserve">Бангладеш</t>
        </is>
      </c>
      <c r="L875" t="inlineStr">
        <is>
          <t xml:space="preserve">6205200000</t>
        </is>
      </c>
      <c r="M875" t="inlineStr">
        <is>
          <t xml:space="preserve">Декларация № ЕАЭС № BY/112 11.01. ТР017 122.01 08246, до 19.04.2028</t>
        </is>
      </c>
      <c r="N875" t="inlineStr">
        <is>
          <t xml:space="preserve">38 × 31 × 2</t>
        </is>
      </c>
      <c r="O875" t="inlineStr">
        <is>
          <t xml:space="preserve">0,35</t>
        </is>
      </c>
      <c r="P875" t="inlineStr">
        <is>
          <t xml:space="preserve">2038096181226</t>
        </is>
      </c>
      <c r="Q875" s="3" t="str">
        <f>HYPERLINK("https://modify.by/img/187539306/1.webp","фото")</f>
        <v>фото</v>
      </c>
      <c r="R875" s="3" t="str">
        <f>HYPERLINK("https://modify.by/catalog/rubashki/187539306/?utm_source=price&amp;utm_medium=xlsx","открыть")</f>
        <v>открыть</v>
      </c>
    </row>
    <row r="876">
      <c r="A876" t="inlineStr">
        <is>
          <t xml:space="preserve">Мужской</t>
        </is>
      </c>
      <c r="B876" t="inlineStr">
        <is>
          <t xml:space="preserve">Рубашки</t>
        </is>
      </c>
      <c r="C876" t="inlineStr">
        <is>
          <t xml:space="preserve">Рубашка в клетку фланелевая хлопковая свободного кроя, голубой</t>
        </is>
      </c>
      <c r="D876" t="inlineStr">
        <is>
          <t xml:space="preserve">SH32M13голубой,зеленый</t>
        </is>
      </c>
      <c r="E876" t="inlineStr">
        <is>
          <t xml:space="preserve">голубой, зеленый</t>
        </is>
      </c>
      <c r="F876" t="inlineStr">
        <is>
          <t xml:space="preserve">44</t>
        </is>
      </c>
      <c r="G876">
        <v>4</v>
      </c>
      <c r="H876" s="2">
        <v>34.0</v>
      </c>
      <c r="I876" t="inlineStr">
        <is>
          <t xml:space="preserve">хлопок 100%</t>
        </is>
      </c>
      <c r="J876"/>
      <c r="K876" t="inlineStr">
        <is>
          <t xml:space="preserve">Бангладеш</t>
        </is>
      </c>
      <c r="L876" t="inlineStr">
        <is>
          <t xml:space="preserve">6205200000</t>
        </is>
      </c>
      <c r="M876" t="inlineStr">
        <is>
          <t xml:space="preserve">Декларация № ЕАЭС № BY/112 11.01. ТР017 122.01 08246, до 19.04.2028</t>
        </is>
      </c>
      <c r="N876" t="inlineStr">
        <is>
          <t xml:space="preserve">38 × 31 × 2</t>
        </is>
      </c>
      <c r="O876" t="inlineStr">
        <is>
          <t xml:space="preserve">0,35</t>
        </is>
      </c>
      <c r="P876" t="inlineStr">
        <is>
          <t xml:space="preserve">4816148109538</t>
        </is>
      </c>
      <c r="Q876" s="3" t="str">
        <f>HYPERLINK("https://modify.by/img/187539306/1.webp","фото")</f>
        <v>фото</v>
      </c>
      <c r="R876" s="3" t="str">
        <f>HYPERLINK("https://modify.by/catalog/rubashki/187539306/?utm_source=price&amp;utm_medium=xlsx","открыть")</f>
        <v>открыть</v>
      </c>
    </row>
    <row r="877">
      <c r="A877" t="inlineStr">
        <is>
          <t xml:space="preserve">Мужской</t>
        </is>
      </c>
      <c r="B877" t="inlineStr">
        <is>
          <t xml:space="preserve">Рубашки</t>
        </is>
      </c>
      <c r="C877" t="inlineStr">
        <is>
          <t xml:space="preserve">Рубашка в клетку фланелевая хлопковая свободного кроя, голубой</t>
        </is>
      </c>
      <c r="D877" t="inlineStr">
        <is>
          <t xml:space="preserve">SH32M13голубой,зеленый</t>
        </is>
      </c>
      <c r="E877" t="inlineStr">
        <is>
          <t xml:space="preserve">голубой, зеленый</t>
        </is>
      </c>
      <c r="F877" t="inlineStr">
        <is>
          <t xml:space="preserve">46</t>
        </is>
      </c>
      <c r="G877">
        <v>6</v>
      </c>
      <c r="H877" s="2">
        <v>34.0</v>
      </c>
      <c r="I877" t="inlineStr">
        <is>
          <t xml:space="preserve">хлопок 100%</t>
        </is>
      </c>
      <c r="J877"/>
      <c r="K877" t="inlineStr">
        <is>
          <t xml:space="preserve">Бангладеш</t>
        </is>
      </c>
      <c r="L877" t="inlineStr">
        <is>
          <t xml:space="preserve">6205200000</t>
        </is>
      </c>
      <c r="M877" t="inlineStr">
        <is>
          <t xml:space="preserve">Декларация № ЕАЭС № BY/112 11.01. ТР017 122.01 08246, до 19.04.2028</t>
        </is>
      </c>
      <c r="N877" t="inlineStr">
        <is>
          <t xml:space="preserve">38 × 31 × 2</t>
        </is>
      </c>
      <c r="O877" t="inlineStr">
        <is>
          <t xml:space="preserve">0,35</t>
        </is>
      </c>
      <c r="P877" t="inlineStr">
        <is>
          <t xml:space="preserve">2038096181233</t>
        </is>
      </c>
      <c r="Q877" s="3" t="str">
        <f>HYPERLINK("https://modify.by/img/187539306/1.webp","фото")</f>
        <v>фото</v>
      </c>
      <c r="R877" s="3" t="str">
        <f>HYPERLINK("https://modify.by/catalog/rubashki/187539306/?utm_source=price&amp;utm_medium=xlsx","открыть")</f>
        <v>открыть</v>
      </c>
    </row>
    <row r="878">
      <c r="A878" t="inlineStr">
        <is>
          <t xml:space="preserve">Мужской</t>
        </is>
      </c>
      <c r="B878" t="inlineStr">
        <is>
          <t xml:space="preserve">Рубашки</t>
        </is>
      </c>
      <c r="C878" t="inlineStr">
        <is>
          <t xml:space="preserve">Рубашка в клетку фланелевая хлопковая свободного кроя, голубой</t>
        </is>
      </c>
      <c r="D878" t="inlineStr">
        <is>
          <t xml:space="preserve">SH32M13голубой,зеленый</t>
        </is>
      </c>
      <c r="E878" t="inlineStr">
        <is>
          <t xml:space="preserve">голубой, зеленый</t>
        </is>
      </c>
      <c r="F878" t="inlineStr">
        <is>
          <t xml:space="preserve">46</t>
        </is>
      </c>
      <c r="G878">
        <v>6</v>
      </c>
      <c r="H878" s="2">
        <v>34.0</v>
      </c>
      <c r="I878" t="inlineStr">
        <is>
          <t xml:space="preserve">хлопок 100%</t>
        </is>
      </c>
      <c r="J878"/>
      <c r="K878" t="inlineStr">
        <is>
          <t xml:space="preserve">Бангладеш</t>
        </is>
      </c>
      <c r="L878" t="inlineStr">
        <is>
          <t xml:space="preserve">6205200000</t>
        </is>
      </c>
      <c r="M878" t="inlineStr">
        <is>
          <t xml:space="preserve">Декларация № ЕАЭС № BY/112 11.01. ТР017 122.01 08246, до 19.04.2028</t>
        </is>
      </c>
      <c r="N878" t="inlineStr">
        <is>
          <t xml:space="preserve">38 × 31 × 2</t>
        </is>
      </c>
      <c r="O878" t="inlineStr">
        <is>
          <t xml:space="preserve">0,35</t>
        </is>
      </c>
      <c r="P878" t="inlineStr">
        <is>
          <t xml:space="preserve">4816148109545</t>
        </is>
      </c>
      <c r="Q878" s="3" t="str">
        <f>HYPERLINK("https://modify.by/img/187539306/1.webp","фото")</f>
        <v>фото</v>
      </c>
      <c r="R878" s="3" t="str">
        <f>HYPERLINK("https://modify.by/catalog/rubashki/187539306/?utm_source=price&amp;utm_medium=xlsx","открыть")</f>
        <v>открыть</v>
      </c>
    </row>
    <row r="879">
      <c r="A879" t="inlineStr">
        <is>
          <t xml:space="preserve">Мужской</t>
        </is>
      </c>
      <c r="B879" t="inlineStr">
        <is>
          <t xml:space="preserve">Рубашки</t>
        </is>
      </c>
      <c r="C879" t="inlineStr">
        <is>
          <t xml:space="preserve">Рубашка в клетку фланелевая хлопковая свободного кроя, серый</t>
        </is>
      </c>
      <c r="D879" t="inlineStr">
        <is>
          <t xml:space="preserve">SH42M01серый,серо-зеленый</t>
        </is>
      </c>
      <c r="E879" t="inlineStr">
        <is>
          <t xml:space="preserve">серый, серо-зеленый</t>
        </is>
      </c>
      <c r="F879" t="inlineStr">
        <is>
          <t xml:space="preserve">48</t>
        </is>
      </c>
      <c r="G879">
        <v>4</v>
      </c>
      <c r="H879" s="2">
        <v>33.0</v>
      </c>
      <c r="I879" t="inlineStr">
        <is>
          <t xml:space="preserve">хлопок 100%</t>
        </is>
      </c>
      <c r="J879"/>
      <c r="K879" t="inlineStr">
        <is>
          <t xml:space="preserve">Бангладеш</t>
        </is>
      </c>
      <c r="L879" t="inlineStr">
        <is>
          <t xml:space="preserve">6205200000</t>
        </is>
      </c>
      <c r="M879" t="inlineStr">
        <is>
          <t xml:space="preserve">Декларация № ЕАЭС № BY/112 11.01. ТР017 122.01 08246, до 19.04.2028</t>
        </is>
      </c>
      <c r="N879" t="inlineStr">
        <is>
          <t xml:space="preserve">35 × 25 × 2</t>
        </is>
      </c>
      <c r="O879" t="inlineStr">
        <is>
          <t xml:space="preserve">0,45</t>
        </is>
      </c>
      <c r="P879" t="inlineStr">
        <is>
          <t xml:space="preserve">4816148106407</t>
        </is>
      </c>
      <c r="Q879" s="3" t="str">
        <f>HYPERLINK("https://modify.by/img/239188171/1.webp","фото")</f>
        <v>фото</v>
      </c>
      <c r="R879" s="3" t="str">
        <f>HYPERLINK("https://modify.by/catalog/rubashki/239188171/?utm_source=price&amp;utm_medium=xlsx","открыть")</f>
        <v>открыть</v>
      </c>
    </row>
    <row r="880">
      <c r="A880" t="inlineStr">
        <is>
          <t xml:space="preserve">Мужской</t>
        </is>
      </c>
      <c r="B880" t="inlineStr">
        <is>
          <t xml:space="preserve">Рубашки</t>
        </is>
      </c>
      <c r="C880" t="inlineStr">
        <is>
          <t xml:space="preserve">Рубашка гавайская летняя</t>
        </is>
      </c>
      <c r="D880" t="inlineStr">
        <is>
          <t xml:space="preserve">SH3332M01Темно-синий,белый</t>
        </is>
      </c>
      <c r="E880" t="inlineStr">
        <is>
          <t xml:space="preserve">белый, темно-синий</t>
        </is>
      </c>
      <c r="F880" t="inlineStr">
        <is>
          <t xml:space="preserve">48</t>
        </is>
      </c>
      <c r="G880">
        <v>1</v>
      </c>
      <c r="H880" s="2">
        <v>40.0</v>
      </c>
      <c r="I880" t="inlineStr">
        <is>
          <t xml:space="preserve">хлопок 100%</t>
        </is>
      </c>
      <c r="J880"/>
      <c r="K880" t="inlineStr">
        <is>
          <t xml:space="preserve">Бангладеш</t>
        </is>
      </c>
      <c r="L880" t="inlineStr">
        <is>
          <t xml:space="preserve">6205200000</t>
        </is>
      </c>
      <c r="M880" t="inlineStr">
        <is>
          <t xml:space="preserve">по запросу</t>
        </is>
      </c>
      <c r="N880" t="inlineStr">
        <is>
          <t xml:space="preserve">34 × 21 × 3</t>
        </is>
      </c>
      <c r="O880" t="inlineStr">
        <is>
          <t xml:space="preserve">0,25</t>
        </is>
      </c>
      <c r="P880" t="inlineStr">
        <is>
          <t xml:space="preserve">2026620748533</t>
        </is>
      </c>
      <c r="Q880" s="3" t="str">
        <f>HYPERLINK("https://modify.by/img/167703144/1.webp","фото")</f>
        <v>фото</v>
      </c>
      <c r="R880" s="3" t="str">
        <f>HYPERLINK("https://modify.by/catalog/rubashki/167703144/?utm_source=price&amp;utm_medium=xlsx","открыть")</f>
        <v>открыть</v>
      </c>
    </row>
    <row r="881">
      <c r="A881" t="inlineStr">
        <is>
          <t xml:space="preserve">Мужской</t>
        </is>
      </c>
      <c r="B881" t="inlineStr">
        <is>
          <t xml:space="preserve">Рубашки</t>
        </is>
      </c>
      <c r="C881" t="inlineStr">
        <is>
          <t xml:space="preserve">Рубашка гавайская летняя оверсайз с коротким рукавом</t>
        </is>
      </c>
      <c r="D881" t="inlineStr">
        <is>
          <t xml:space="preserve">T3SH42M02красный,белый</t>
        </is>
      </c>
      <c r="E881" t="inlineStr">
        <is>
          <t xml:space="preserve">красный, белый</t>
        </is>
      </c>
      <c r="F881" t="inlineStr">
        <is>
          <t xml:space="preserve">44</t>
        </is>
      </c>
      <c r="G881">
        <v>9</v>
      </c>
      <c r="H881" s="2">
        <v>21.0</v>
      </c>
      <c r="I881" t="inlineStr">
        <is>
          <t xml:space="preserve">полиэстер 100%</t>
        </is>
      </c>
      <c r="J881"/>
      <c r="K881" t="inlineStr">
        <is>
          <t xml:space="preserve">Китай</t>
        </is>
      </c>
      <c r="L881" t="inlineStr">
        <is>
          <t xml:space="preserve">6205300000</t>
        </is>
      </c>
      <c r="M881" t="inlineStr">
        <is>
          <t xml:space="preserve">Декларация № ЕАЭС N RU Д-CN.РА02.В.44039/24, до 28.02.2029</t>
        </is>
      </c>
      <c r="N881" t="inlineStr">
        <is>
          <t xml:space="preserve">35 × 29 × 2</t>
        </is>
      </c>
      <c r="O881" t="inlineStr">
        <is>
          <t xml:space="preserve">0,26</t>
        </is>
      </c>
      <c r="P881" t="inlineStr">
        <is>
          <t xml:space="preserve">4816148106704</t>
        </is>
      </c>
      <c r="Q881" s="3" t="str">
        <f>HYPERLINK("https://modify.by/img/239180793/1.webp","фото")</f>
        <v>фото</v>
      </c>
      <c r="R881" s="3" t="str">
        <f>HYPERLINK("https://modify.by/catalog/rubashki/239180793/?utm_source=price&amp;utm_medium=xlsx","открыть")</f>
        <v>открыть</v>
      </c>
    </row>
    <row r="882">
      <c r="A882" t="inlineStr">
        <is>
          <t xml:space="preserve">Мужской</t>
        </is>
      </c>
      <c r="B882" t="inlineStr">
        <is>
          <t xml:space="preserve">Рубашки</t>
        </is>
      </c>
      <c r="C882" t="inlineStr">
        <is>
          <t xml:space="preserve">Рубашка гавайская летняя оверсайз с коротким рукавом</t>
        </is>
      </c>
      <c r="D882" t="inlineStr">
        <is>
          <t xml:space="preserve">T3SH42M02красный,белый</t>
        </is>
      </c>
      <c r="E882" t="inlineStr">
        <is>
          <t xml:space="preserve">красный, белый</t>
        </is>
      </c>
      <c r="F882" t="inlineStr">
        <is>
          <t xml:space="preserve">46</t>
        </is>
      </c>
      <c r="G882">
        <v>1</v>
      </c>
      <c r="H882" s="2">
        <v>21.0</v>
      </c>
      <c r="I882" t="inlineStr">
        <is>
          <t xml:space="preserve">полиэстер 100%</t>
        </is>
      </c>
      <c r="J882"/>
      <c r="K882" t="inlineStr">
        <is>
          <t xml:space="preserve">Китай</t>
        </is>
      </c>
      <c r="L882" t="inlineStr">
        <is>
          <t xml:space="preserve">6205300000</t>
        </is>
      </c>
      <c r="M882" t="inlineStr">
        <is>
          <t xml:space="preserve">Декларация № ЕАЭС N RU Д-CN.РА02.В.44039/24, до 28.02.2029</t>
        </is>
      </c>
      <c r="N882" t="inlineStr">
        <is>
          <t xml:space="preserve">35 × 29 × 2</t>
        </is>
      </c>
      <c r="O882" t="inlineStr">
        <is>
          <t xml:space="preserve">0,26</t>
        </is>
      </c>
      <c r="P882" t="inlineStr">
        <is>
          <t xml:space="preserve">4816148106711</t>
        </is>
      </c>
      <c r="Q882" s="3" t="str">
        <f>HYPERLINK("https://modify.by/img/239180793/1.webp","фото")</f>
        <v>фото</v>
      </c>
      <c r="R882" s="3" t="str">
        <f>HYPERLINK("https://modify.by/catalog/rubashki/239180793/?utm_source=price&amp;utm_medium=xlsx","открыть")</f>
        <v>открыть</v>
      </c>
    </row>
    <row r="883">
      <c r="A883" t="inlineStr">
        <is>
          <t xml:space="preserve">Мужской</t>
        </is>
      </c>
      <c r="B883" t="inlineStr">
        <is>
          <t xml:space="preserve">Рубашки</t>
        </is>
      </c>
      <c r="C883" t="inlineStr">
        <is>
          <t xml:space="preserve">Рубашка гавайская летняя оверсайз с коротким рукавом</t>
        </is>
      </c>
      <c r="D883" t="inlineStr">
        <is>
          <t xml:space="preserve">T3SH42M02красный,белый</t>
        </is>
      </c>
      <c r="E883" t="inlineStr">
        <is>
          <t xml:space="preserve">красный, белый</t>
        </is>
      </c>
      <c r="F883" t="inlineStr">
        <is>
          <t xml:space="preserve">48</t>
        </is>
      </c>
      <c r="G883">
        <v>4</v>
      </c>
      <c r="H883" s="2">
        <v>21.0</v>
      </c>
      <c r="I883" t="inlineStr">
        <is>
          <t xml:space="preserve">полиэстер 100%</t>
        </is>
      </c>
      <c r="J883"/>
      <c r="K883" t="inlineStr">
        <is>
          <t xml:space="preserve">Китай</t>
        </is>
      </c>
      <c r="L883" t="inlineStr">
        <is>
          <t xml:space="preserve">6205300000</t>
        </is>
      </c>
      <c r="M883" t="inlineStr">
        <is>
          <t xml:space="preserve">Декларация № ЕАЭС N RU Д-CN.РА02.В.44039/24, до 28.02.2029</t>
        </is>
      </c>
      <c r="N883" t="inlineStr">
        <is>
          <t xml:space="preserve">35 × 29 × 2</t>
        </is>
      </c>
      <c r="O883" t="inlineStr">
        <is>
          <t xml:space="preserve">0,26</t>
        </is>
      </c>
      <c r="P883" t="inlineStr">
        <is>
          <t xml:space="preserve">4816148106728</t>
        </is>
      </c>
      <c r="Q883" s="3" t="str">
        <f>HYPERLINK("https://modify.by/img/239180793/1.webp","фото")</f>
        <v>фото</v>
      </c>
      <c r="R883" s="3" t="str">
        <f>HYPERLINK("https://modify.by/catalog/rubashki/239180793/?utm_source=price&amp;utm_medium=xlsx","открыть")</f>
        <v>открыть</v>
      </c>
    </row>
    <row r="884">
      <c r="A884" t="inlineStr">
        <is>
          <t xml:space="preserve">Мужской</t>
        </is>
      </c>
      <c r="B884" t="inlineStr">
        <is>
          <t xml:space="preserve">Рубашки</t>
        </is>
      </c>
      <c r="C884" t="inlineStr">
        <is>
          <t xml:space="preserve">Рубашка гавайская летняя оверсайз с коротким рукавом</t>
        </is>
      </c>
      <c r="D884" t="inlineStr">
        <is>
          <t xml:space="preserve">T3SH42M02красный,белый</t>
        </is>
      </c>
      <c r="E884" t="inlineStr">
        <is>
          <t xml:space="preserve">красный, белый</t>
        </is>
      </c>
      <c r="F884" t="inlineStr">
        <is>
          <t xml:space="preserve">50</t>
        </is>
      </c>
      <c r="G884">
        <v>6</v>
      </c>
      <c r="H884" s="2">
        <v>21.0</v>
      </c>
      <c r="I884" t="inlineStr">
        <is>
          <t xml:space="preserve">полиэстер 100%</t>
        </is>
      </c>
      <c r="J884"/>
      <c r="K884" t="inlineStr">
        <is>
          <t xml:space="preserve">Китай</t>
        </is>
      </c>
      <c r="L884" t="inlineStr">
        <is>
          <t xml:space="preserve">6205300000</t>
        </is>
      </c>
      <c r="M884" t="inlineStr">
        <is>
          <t xml:space="preserve">Декларация № ЕАЭС N RU Д-CN.РА02.В.44039/24, до 28.02.2029</t>
        </is>
      </c>
      <c r="N884" t="inlineStr">
        <is>
          <t xml:space="preserve">35 × 29 × 2</t>
        </is>
      </c>
      <c r="O884" t="inlineStr">
        <is>
          <t xml:space="preserve">0,26</t>
        </is>
      </c>
      <c r="P884" t="inlineStr">
        <is>
          <t xml:space="preserve">4816148106735</t>
        </is>
      </c>
      <c r="Q884" s="3" t="str">
        <f>HYPERLINK("https://modify.by/img/239180793/1.webp","фото")</f>
        <v>фото</v>
      </c>
      <c r="R884" s="3" t="str">
        <f>HYPERLINK("https://modify.by/catalog/rubashki/239180793/?utm_source=price&amp;utm_medium=xlsx","открыть")</f>
        <v>открыть</v>
      </c>
    </row>
    <row r="885">
      <c r="A885" t="inlineStr">
        <is>
          <t xml:space="preserve">Мужской</t>
        </is>
      </c>
      <c r="B885" t="inlineStr">
        <is>
          <t xml:space="preserve">Рубашки</t>
        </is>
      </c>
      <c r="C885" t="inlineStr">
        <is>
          <t xml:space="preserve">Рубашка гавайская летняя оверсайз с коротким рукавом</t>
        </is>
      </c>
      <c r="D885" t="inlineStr">
        <is>
          <t xml:space="preserve">T3SH42M02красный,белый</t>
        </is>
      </c>
      <c r="E885" t="inlineStr">
        <is>
          <t xml:space="preserve">красный, белый</t>
        </is>
      </c>
      <c r="F885" t="inlineStr">
        <is>
          <t xml:space="preserve">52</t>
        </is>
      </c>
      <c r="G885">
        <v>38</v>
      </c>
      <c r="H885" s="2">
        <v>21.0</v>
      </c>
      <c r="I885" t="inlineStr">
        <is>
          <t xml:space="preserve">полиэстер 100%</t>
        </is>
      </c>
      <c r="J885"/>
      <c r="K885" t="inlineStr">
        <is>
          <t xml:space="preserve">Китай</t>
        </is>
      </c>
      <c r="L885" t="inlineStr">
        <is>
          <t xml:space="preserve">6205300000</t>
        </is>
      </c>
      <c r="M885" t="inlineStr">
        <is>
          <t xml:space="preserve">Декларация № ЕАЭС N RU Д-CN.РА02.В.44039/24, до 28.02.2029</t>
        </is>
      </c>
      <c r="N885" t="inlineStr">
        <is>
          <t xml:space="preserve">35 × 29 × 2</t>
        </is>
      </c>
      <c r="O885" t="inlineStr">
        <is>
          <t xml:space="preserve">0,26</t>
        </is>
      </c>
      <c r="P885" t="inlineStr">
        <is>
          <t xml:space="preserve">4816148106742</t>
        </is>
      </c>
      <c r="Q885" s="3" t="str">
        <f>HYPERLINK("https://modify.by/img/239180793/1.webp","фото")</f>
        <v>фото</v>
      </c>
      <c r="R885" s="3" t="str">
        <f>HYPERLINK("https://modify.by/catalog/rubashki/239180793/?utm_source=price&amp;utm_medium=xlsx","открыть")</f>
        <v>открыть</v>
      </c>
    </row>
    <row r="886">
      <c r="A886" t="inlineStr">
        <is>
          <t xml:space="preserve">Мужской</t>
        </is>
      </c>
      <c r="B886" t="inlineStr">
        <is>
          <t xml:space="preserve">Рубашки</t>
        </is>
      </c>
      <c r="C886" t="inlineStr">
        <is>
          <t xml:space="preserve">Рубашка гавайская с принтом летняя, бежевый</t>
        </is>
      </c>
      <c r="D886" t="inlineStr">
        <is>
          <t xml:space="preserve">SH32M02Бежевый</t>
        </is>
      </c>
      <c r="E886" t="inlineStr">
        <is>
          <t xml:space="preserve">белый, бежевый, темно-синий</t>
        </is>
      </c>
      <c r="F886" t="inlineStr">
        <is>
          <t xml:space="preserve">46</t>
        </is>
      </c>
      <c r="G886">
        <v>2</v>
      </c>
      <c r="H886" s="2">
        <v>31.0</v>
      </c>
      <c r="I886" t="inlineStr">
        <is>
          <t xml:space="preserve">100% вискоза</t>
        </is>
      </c>
      <c r="J886"/>
      <c r="K886" t="inlineStr">
        <is>
          <t xml:space="preserve">Бангладеш</t>
        </is>
      </c>
      <c r="L886" t="inlineStr">
        <is>
          <t xml:space="preserve">6105100000</t>
        </is>
      </c>
      <c r="M886" t="inlineStr">
        <is>
          <t xml:space="preserve">по запросу</t>
        </is>
      </c>
      <c r="N886" t="inlineStr">
        <is>
          <t xml:space="preserve">35 × 30 × 4</t>
        </is>
      </c>
      <c r="O886" t="inlineStr">
        <is>
          <t xml:space="preserve">0,25</t>
        </is>
      </c>
      <c r="P886" t="inlineStr">
        <is>
          <t xml:space="preserve">2026620784104</t>
        </is>
      </c>
      <c r="Q886" s="3" t="str">
        <f>HYPERLINK("https://modify.by/img/149454955/1.webp","фото")</f>
        <v>фото</v>
      </c>
      <c r="R886" s="3" t="str">
        <f>HYPERLINK("https://modify.by/catalog/rubashki/149454955/?utm_source=price&amp;utm_medium=xlsx","открыть")</f>
        <v>открыть</v>
      </c>
    </row>
    <row r="887">
      <c r="A887" t="inlineStr">
        <is>
          <t xml:space="preserve">Мужской</t>
        </is>
      </c>
      <c r="B887" t="inlineStr">
        <is>
          <t xml:space="preserve">Рубашки</t>
        </is>
      </c>
      <c r="C887" t="inlineStr">
        <is>
          <t xml:space="preserve">Рубашка гавайская с принтом летняя, белый</t>
        </is>
      </c>
      <c r="D887" t="inlineStr">
        <is>
          <t xml:space="preserve">SH32M02Темно-синий</t>
        </is>
      </c>
      <c r="E887" t="inlineStr">
        <is>
          <t xml:space="preserve">белый, темно-синий</t>
        </is>
      </c>
      <c r="F887" t="inlineStr">
        <is>
          <t xml:space="preserve">46</t>
        </is>
      </c>
      <c r="G887">
        <v>1</v>
      </c>
      <c r="H887" s="2">
        <v>31.0</v>
      </c>
      <c r="I887" t="inlineStr">
        <is>
          <t xml:space="preserve">100% вискоза</t>
        </is>
      </c>
      <c r="J887"/>
      <c r="K887" t="inlineStr">
        <is>
          <t xml:space="preserve">Бангладеш</t>
        </is>
      </c>
      <c r="L887" t="inlineStr">
        <is>
          <t xml:space="preserve">6105100000</t>
        </is>
      </c>
      <c r="M887" t="inlineStr">
        <is>
          <t xml:space="preserve">по запросу</t>
        </is>
      </c>
      <c r="N887" t="inlineStr">
        <is>
          <t xml:space="preserve">35 × 30 × 4</t>
        </is>
      </c>
      <c r="O887" t="inlineStr">
        <is>
          <t xml:space="preserve">0,25</t>
        </is>
      </c>
      <c r="P887" t="inlineStr">
        <is>
          <t xml:space="preserve">2026620784302</t>
        </is>
      </c>
      <c r="Q887" s="3" t="str">
        <f>HYPERLINK("https://modify.by/img/149454949/1.webp","фото")</f>
        <v>фото</v>
      </c>
      <c r="R887" s="3" t="str">
        <f>HYPERLINK("https://modify.by/catalog/rubashki/149454949/?utm_source=price&amp;utm_medium=xlsx","открыть")</f>
        <v>открыть</v>
      </c>
    </row>
    <row r="888">
      <c r="A888" t="inlineStr">
        <is>
          <t xml:space="preserve">Мужской</t>
        </is>
      </c>
      <c r="B888" t="inlineStr">
        <is>
          <t xml:space="preserve">Рубашки</t>
        </is>
      </c>
      <c r="C888" t="inlineStr">
        <is>
          <t xml:space="preserve">Рубашка гавайская с принтом летняя, желтый</t>
        </is>
      </c>
      <c r="D888" t="inlineStr">
        <is>
          <t xml:space="preserve">SH32M02Желтый</t>
        </is>
      </c>
      <c r="E888" t="inlineStr">
        <is>
          <t xml:space="preserve">желтый, зеленый, сиреневый</t>
        </is>
      </c>
      <c r="F888" t="inlineStr">
        <is>
          <t xml:space="preserve">46</t>
        </is>
      </c>
      <c r="G888">
        <v>1</v>
      </c>
      <c r="H888" s="2">
        <v>31.0</v>
      </c>
      <c r="I888" t="inlineStr">
        <is>
          <t xml:space="preserve">100% вискоза</t>
        </is>
      </c>
      <c r="J888"/>
      <c r="K888" t="inlineStr">
        <is>
          <t xml:space="preserve">Бангладеш</t>
        </is>
      </c>
      <c r="L888" t="inlineStr">
        <is>
          <t xml:space="preserve">6105100000</t>
        </is>
      </c>
      <c r="M888" t="inlineStr">
        <is>
          <t xml:space="preserve">по запросу</t>
        </is>
      </c>
      <c r="N888" t="inlineStr">
        <is>
          <t xml:space="preserve">35 × 30 × 4</t>
        </is>
      </c>
      <c r="O888" t="inlineStr">
        <is>
          <t xml:space="preserve">0,25</t>
        </is>
      </c>
      <c r="P888" t="inlineStr">
        <is>
          <t xml:space="preserve">2026620784227</t>
        </is>
      </c>
      <c r="Q888" s="3" t="str">
        <f>HYPERLINK("https://modify.by/img/149454959/1.webp","фото")</f>
        <v>фото</v>
      </c>
      <c r="R888" s="3" t="str">
        <f>HYPERLINK("https://modify.by/catalog/rubashki/149454959/?utm_source=price&amp;utm_medium=xlsx","открыть")</f>
        <v>открыть</v>
      </c>
    </row>
    <row r="889">
      <c r="A889" t="inlineStr">
        <is>
          <t xml:space="preserve">Мужской</t>
        </is>
      </c>
      <c r="B889" t="inlineStr">
        <is>
          <t xml:space="preserve">Рубашки</t>
        </is>
      </c>
      <c r="C889" t="inlineStr">
        <is>
          <t xml:space="preserve">Рубашка гавайская с принтом летняя, красный</t>
        </is>
      </c>
      <c r="D889" t="inlineStr">
        <is>
          <t xml:space="preserve">SH32M02Бирюзовый</t>
        </is>
      </c>
      <c r="E889" t="inlineStr">
        <is>
          <t xml:space="preserve">зеленый, красный, бирюзовый</t>
        </is>
      </c>
      <c r="F889" t="inlineStr">
        <is>
          <t xml:space="preserve">46</t>
        </is>
      </c>
      <c r="G889">
        <v>1</v>
      </c>
      <c r="H889" s="2">
        <v>31.0</v>
      </c>
      <c r="I889" t="inlineStr">
        <is>
          <t xml:space="preserve">100% вискоза</t>
        </is>
      </c>
      <c r="J889"/>
      <c r="K889" t="inlineStr">
        <is>
          <t xml:space="preserve">Бангладеш</t>
        </is>
      </c>
      <c r="L889" t="inlineStr">
        <is>
          <t xml:space="preserve">6105100000</t>
        </is>
      </c>
      <c r="M889" t="inlineStr">
        <is>
          <t xml:space="preserve">по запросу</t>
        </is>
      </c>
      <c r="N889" t="inlineStr">
        <is>
          <t xml:space="preserve">35 × 30 × 4</t>
        </is>
      </c>
      <c r="O889" t="inlineStr">
        <is>
          <t xml:space="preserve">0,25</t>
        </is>
      </c>
      <c r="P889" t="inlineStr">
        <is>
          <t xml:space="preserve">2026620784029</t>
        </is>
      </c>
      <c r="Q889" s="3" t="str">
        <f>HYPERLINK("https://modify.by/img/149454961/1.webp","фото")</f>
        <v>фото</v>
      </c>
      <c r="R889" s="3" t="str">
        <f>HYPERLINK("https://modify.by/catalog/rubashki/149454961/?utm_source=price&amp;utm_medium=xlsx","открыть")</f>
        <v>открыть</v>
      </c>
    </row>
    <row r="890">
      <c r="A890" t="inlineStr">
        <is>
          <t xml:space="preserve">Мужской</t>
        </is>
      </c>
      <c r="B890" t="inlineStr">
        <is>
          <t xml:space="preserve">Рубашки</t>
        </is>
      </c>
      <c r="C890" t="inlineStr">
        <is>
          <t xml:space="preserve">Рубашка гавайская с принтом летняя, персиковый</t>
        </is>
      </c>
      <c r="D890" t="inlineStr">
        <is>
          <t xml:space="preserve">SH32M02Голубой</t>
        </is>
      </c>
      <c r="E890" t="inlineStr">
        <is>
          <t xml:space="preserve">персиковый, голубой, белый</t>
        </is>
      </c>
      <c r="F890" t="inlineStr">
        <is>
          <t xml:space="preserve">48</t>
        </is>
      </c>
      <c r="G890">
        <v>3</v>
      </c>
      <c r="H890" s="2">
        <v>31.0</v>
      </c>
      <c r="I890" t="inlineStr">
        <is>
          <t xml:space="preserve">100% вискоза</t>
        </is>
      </c>
      <c r="J890"/>
      <c r="K890" t="inlineStr">
        <is>
          <t xml:space="preserve">Бангладеш</t>
        </is>
      </c>
      <c r="L890" t="inlineStr">
        <is>
          <t xml:space="preserve">6105100000</t>
        </is>
      </c>
      <c r="M890" t="inlineStr">
        <is>
          <t xml:space="preserve">по запросу</t>
        </is>
      </c>
      <c r="N890" t="inlineStr">
        <is>
          <t xml:space="preserve">35 × 30 × 4</t>
        </is>
      </c>
      <c r="O890" t="inlineStr">
        <is>
          <t xml:space="preserve">0,25</t>
        </is>
      </c>
      <c r="P890" t="inlineStr">
        <is>
          <t xml:space="preserve">2026620784050</t>
        </is>
      </c>
      <c r="Q890" s="3" t="str">
        <f>HYPERLINK("https://modify.by/img/149454968/1.webp","фото")</f>
        <v>фото</v>
      </c>
      <c r="R890" s="3" t="str">
        <f>HYPERLINK("https://modify.by/catalog/rubashki/149454968/?utm_source=price&amp;utm_medium=xlsx","открыть")</f>
        <v>открыть</v>
      </c>
    </row>
    <row r="891">
      <c r="A891" t="inlineStr">
        <is>
          <t xml:space="preserve">Мужской</t>
        </is>
      </c>
      <c r="B891" t="inlineStr">
        <is>
          <t xml:space="preserve">Рубашки</t>
        </is>
      </c>
      <c r="C891" t="inlineStr">
        <is>
          <t xml:space="preserve">Рубашка гавайская с принтом летняя, розовый</t>
        </is>
      </c>
      <c r="D891" t="inlineStr">
        <is>
          <t xml:space="preserve">SH32M02Белый</t>
        </is>
      </c>
      <c r="E891" t="inlineStr">
        <is>
          <t xml:space="preserve">розовый, голубой, белый</t>
        </is>
      </c>
      <c r="F891" t="inlineStr">
        <is>
          <t xml:space="preserve">46</t>
        </is>
      </c>
      <c r="G891">
        <v>2</v>
      </c>
      <c r="H891" s="2">
        <v>31.0</v>
      </c>
      <c r="I891" t="inlineStr">
        <is>
          <t xml:space="preserve">100% вискоза</t>
        </is>
      </c>
      <c r="J891"/>
      <c r="K891" t="inlineStr">
        <is>
          <t xml:space="preserve">Бангладеш</t>
        </is>
      </c>
      <c r="L891" t="inlineStr">
        <is>
          <t xml:space="preserve">6105100000</t>
        </is>
      </c>
      <c r="M891" t="inlineStr">
        <is>
          <t xml:space="preserve">по запросу</t>
        </is>
      </c>
      <c r="N891" t="inlineStr">
        <is>
          <t xml:space="preserve">35 × 30 × 4</t>
        </is>
      </c>
      <c r="O891" t="inlineStr">
        <is>
          <t xml:space="preserve">0,25</t>
        </is>
      </c>
      <c r="P891" t="inlineStr">
        <is>
          <t xml:space="preserve">2026620784142</t>
        </is>
      </c>
      <c r="Q891" s="3" t="str">
        <f>HYPERLINK("https://modify.by/img/149454950/1.webp","фото")</f>
        <v>фото</v>
      </c>
      <c r="R891" s="3" t="str">
        <f>HYPERLINK("https://modify.by/catalog/rubashki/149454950/?utm_source=price&amp;utm_medium=xlsx","открыть")</f>
        <v>открыть</v>
      </c>
    </row>
    <row r="892">
      <c r="A892" t="inlineStr">
        <is>
          <t xml:space="preserve">Мужской</t>
        </is>
      </c>
      <c r="B892" t="inlineStr">
        <is>
          <t xml:space="preserve">Рубашки</t>
        </is>
      </c>
      <c r="C892" t="inlineStr">
        <is>
          <t xml:space="preserve">Рубашка гавайская с принтом летняя, черный</t>
        </is>
      </c>
      <c r="D892" t="inlineStr">
        <is>
          <t xml:space="preserve">SH32M02Черный,зеленый</t>
        </is>
      </c>
      <c r="E892" t="inlineStr">
        <is>
          <t xml:space="preserve">зеленый, черный</t>
        </is>
      </c>
      <c r="F892" t="inlineStr">
        <is>
          <t xml:space="preserve">46</t>
        </is>
      </c>
      <c r="G892">
        <v>1</v>
      </c>
      <c r="H892" s="2">
        <v>31.0</v>
      </c>
      <c r="I892" t="inlineStr">
        <is>
          <t xml:space="preserve">100% вискоза</t>
        </is>
      </c>
      <c r="J892"/>
      <c r="K892" t="inlineStr">
        <is>
          <t xml:space="preserve">Бангладеш</t>
        </is>
      </c>
      <c r="L892" t="inlineStr">
        <is>
          <t xml:space="preserve">6105100000</t>
        </is>
      </c>
      <c r="M892" t="inlineStr">
        <is>
          <t xml:space="preserve">по запросу</t>
        </is>
      </c>
      <c r="N892" t="inlineStr">
        <is>
          <t xml:space="preserve">35 × 30 × 4</t>
        </is>
      </c>
      <c r="O892" t="inlineStr">
        <is>
          <t xml:space="preserve">0,25</t>
        </is>
      </c>
      <c r="P892" t="inlineStr">
        <is>
          <t xml:space="preserve">2026620784388</t>
        </is>
      </c>
      <c r="Q892" s="3" t="str">
        <f>HYPERLINK("https://modify.by/img/149641610/1.webp","фото")</f>
        <v>фото</v>
      </c>
      <c r="R892" s="3" t="str">
        <f>HYPERLINK("https://modify.by/catalog/rubashki/149641610/?utm_source=price&amp;utm_medium=xlsx","открыть")</f>
        <v>открыть</v>
      </c>
    </row>
    <row r="893">
      <c r="A893" t="inlineStr">
        <is>
          <t xml:space="preserve">Мужской</t>
        </is>
      </c>
      <c r="B893" t="inlineStr">
        <is>
          <t xml:space="preserve">Рубашки</t>
        </is>
      </c>
      <c r="C893" t="inlineStr">
        <is>
          <t xml:space="preserve">Рубашка клетчатая</t>
        </is>
      </c>
      <c r="D893" t="inlineStr">
        <is>
          <t xml:space="preserve">SH12M03Голубой,синий</t>
        </is>
      </c>
      <c r="E893" t="inlineStr">
        <is>
          <t xml:space="preserve">голубой, синий</t>
        </is>
      </c>
      <c r="F893" t="inlineStr">
        <is>
          <t xml:space="preserve">46</t>
        </is>
      </c>
      <c r="G893">
        <v>1</v>
      </c>
      <c r="H893" s="2">
        <v>19.0</v>
      </c>
      <c r="I893" t="inlineStr">
        <is>
          <t xml:space="preserve">хлопок</t>
        </is>
      </c>
      <c r="J893"/>
      <c r="K893" t="inlineStr">
        <is>
          <t xml:space="preserve">Бангладеш</t>
        </is>
      </c>
      <c r="L893" t="inlineStr">
        <is>
          <t xml:space="preserve">6106909000</t>
        </is>
      </c>
      <c r="M893" t="inlineStr">
        <is>
          <t xml:space="preserve">по запросу</t>
        </is>
      </c>
      <c r="N893"/>
      <c r="O893"/>
      <c r="P893" t="inlineStr">
        <is>
          <t xml:space="preserve">8595633708963</t>
        </is>
      </c>
      <c r="Q893" s="3" t="str">
        <f>HYPERLINK("https://modify.by/img/29974107/1.webp","фото")</f>
        <v>фото</v>
      </c>
      <c r="R893" s="3" t="str">
        <f>HYPERLINK("https://modify.by/catalog/rubashki/29974107/?utm_source=price&amp;utm_medium=xlsx","открыть")</f>
        <v>открыть</v>
      </c>
    </row>
    <row r="894">
      <c r="A894" t="inlineStr">
        <is>
          <t xml:space="preserve">Мужской</t>
        </is>
      </c>
      <c r="B894" t="inlineStr">
        <is>
          <t xml:space="preserve">Рубашки</t>
        </is>
      </c>
      <c r="C894" t="inlineStr">
        <is>
          <t xml:space="preserve">Рубашка летняя гавайская свободная 100% вискоза, белый</t>
        </is>
      </c>
      <c r="D894" t="inlineStr">
        <is>
          <t xml:space="preserve">SH32M10темно-синий,белый</t>
        </is>
      </c>
      <c r="E894" t="inlineStr">
        <is>
          <t xml:space="preserve">белый, темно-синий</t>
        </is>
      </c>
      <c r="F894" t="inlineStr">
        <is>
          <t xml:space="preserve">48</t>
        </is>
      </c>
      <c r="G894">
        <v>34</v>
      </c>
      <c r="H894" s="2">
        <v>44.0</v>
      </c>
      <c r="I894" t="inlineStr">
        <is>
          <t xml:space="preserve">100% вискоза</t>
        </is>
      </c>
      <c r="J894"/>
      <c r="K894" t="inlineStr">
        <is>
          <t xml:space="preserve">Бангладеш</t>
        </is>
      </c>
      <c r="L894" t="inlineStr">
        <is>
          <t xml:space="preserve">6205300000</t>
        </is>
      </c>
      <c r="M894" t="inlineStr">
        <is>
          <t xml:space="preserve">Декларация № ЕАЭС № BY/112 11.01. ТР017 122.01 08246, до 19.04.2028</t>
        </is>
      </c>
      <c r="N894" t="inlineStr">
        <is>
          <t xml:space="preserve">30 × 35 × 1</t>
        </is>
      </c>
      <c r="O894" t="inlineStr">
        <is>
          <t xml:space="preserve">0,25</t>
        </is>
      </c>
      <c r="P894" t="inlineStr">
        <is>
          <t xml:space="preserve">2038096196459</t>
        </is>
      </c>
      <c r="Q894" s="3" t="str">
        <f>HYPERLINK("https://modify.by/img/210556649/1.webp","фото")</f>
        <v>фото</v>
      </c>
      <c r="R894" s="3" t="str">
        <f>HYPERLINK("https://modify.by/catalog/rubashki/210556649/?utm_source=price&amp;utm_medium=xlsx","открыть")</f>
        <v>открыть</v>
      </c>
    </row>
    <row r="895">
      <c r="A895" t="inlineStr">
        <is>
          <t xml:space="preserve">Мужской</t>
        </is>
      </c>
      <c r="B895" t="inlineStr">
        <is>
          <t xml:space="preserve">Рубашки</t>
        </is>
      </c>
      <c r="C895" t="inlineStr">
        <is>
          <t xml:space="preserve">Рубашка летняя гавайская свободная 100% вискоза, белый</t>
        </is>
      </c>
      <c r="D895" t="inlineStr">
        <is>
          <t xml:space="preserve">SH32M10темно-синий,белый</t>
        </is>
      </c>
      <c r="E895" t="inlineStr">
        <is>
          <t xml:space="preserve">белый, темно-синий</t>
        </is>
      </c>
      <c r="F895" t="inlineStr">
        <is>
          <t xml:space="preserve">48</t>
        </is>
      </c>
      <c r="G895">
        <v>34</v>
      </c>
      <c r="H895" s="2">
        <v>44.0</v>
      </c>
      <c r="I895" t="inlineStr">
        <is>
          <t xml:space="preserve">100% вискоза</t>
        </is>
      </c>
      <c r="J895"/>
      <c r="K895" t="inlineStr">
        <is>
          <t xml:space="preserve">Бангладеш</t>
        </is>
      </c>
      <c r="L895" t="inlineStr">
        <is>
          <t xml:space="preserve">6205300000</t>
        </is>
      </c>
      <c r="M895" t="inlineStr">
        <is>
          <t xml:space="preserve">Декларация № ЕАЭС № BY/112 11.01. ТР017 122.01 08246, до 19.04.2028</t>
        </is>
      </c>
      <c r="N895" t="inlineStr">
        <is>
          <t xml:space="preserve">30 × 35 × 1</t>
        </is>
      </c>
      <c r="O895" t="inlineStr">
        <is>
          <t xml:space="preserve">0,25</t>
        </is>
      </c>
      <c r="P895" t="inlineStr">
        <is>
          <t xml:space="preserve">4816148109279</t>
        </is>
      </c>
      <c r="Q895" s="3" t="str">
        <f>HYPERLINK("https://modify.by/img/210556649/1.webp","фото")</f>
        <v>фото</v>
      </c>
      <c r="R895" s="3" t="str">
        <f>HYPERLINK("https://modify.by/catalog/rubashki/210556649/?utm_source=price&amp;utm_medium=xlsx","открыть")</f>
        <v>открыть</v>
      </c>
    </row>
    <row r="896">
      <c r="A896" t="inlineStr">
        <is>
          <t xml:space="preserve">Мужской</t>
        </is>
      </c>
      <c r="B896" t="inlineStr">
        <is>
          <t xml:space="preserve">Рубашки</t>
        </is>
      </c>
      <c r="C896" t="inlineStr">
        <is>
          <t xml:space="preserve">Рубашка летняя гавайская свободная 100% вискоза, белый</t>
        </is>
      </c>
      <c r="D896" t="inlineStr">
        <is>
          <t xml:space="preserve">SH32M10темно-синий,белый</t>
        </is>
      </c>
      <c r="E896" t="inlineStr">
        <is>
          <t xml:space="preserve">белый, темно-синий</t>
        </is>
      </c>
      <c r="F896" t="inlineStr">
        <is>
          <t xml:space="preserve">50</t>
        </is>
      </c>
      <c r="G896">
        <v>29</v>
      </c>
      <c r="H896" s="2">
        <v>44.0</v>
      </c>
      <c r="I896" t="inlineStr">
        <is>
          <t xml:space="preserve">100% вискоза</t>
        </is>
      </c>
      <c r="J896"/>
      <c r="K896" t="inlineStr">
        <is>
          <t xml:space="preserve">Бангладеш</t>
        </is>
      </c>
      <c r="L896" t="inlineStr">
        <is>
          <t xml:space="preserve">6205300000</t>
        </is>
      </c>
      <c r="M896" t="inlineStr">
        <is>
          <t xml:space="preserve">Декларация № ЕАЭС № BY/112 11.01. ТР017 122.01 08246, до 19.04.2028</t>
        </is>
      </c>
      <c r="N896" t="inlineStr">
        <is>
          <t xml:space="preserve">30 × 35 × 1</t>
        </is>
      </c>
      <c r="O896" t="inlineStr">
        <is>
          <t xml:space="preserve">0,25</t>
        </is>
      </c>
      <c r="P896" t="inlineStr">
        <is>
          <t xml:space="preserve">2038096196466</t>
        </is>
      </c>
      <c r="Q896" s="3" t="str">
        <f>HYPERLINK("https://modify.by/img/210556649/1.webp","фото")</f>
        <v>фото</v>
      </c>
      <c r="R896" s="3" t="str">
        <f>HYPERLINK("https://modify.by/catalog/rubashki/210556649/?utm_source=price&amp;utm_medium=xlsx","открыть")</f>
        <v>открыть</v>
      </c>
    </row>
    <row r="897">
      <c r="A897" t="inlineStr">
        <is>
          <t xml:space="preserve">Мужской</t>
        </is>
      </c>
      <c r="B897" t="inlineStr">
        <is>
          <t xml:space="preserve">Рубашки</t>
        </is>
      </c>
      <c r="C897" t="inlineStr">
        <is>
          <t xml:space="preserve">Рубашка летняя гавайская свободная 100% вискоза, белый</t>
        </is>
      </c>
      <c r="D897" t="inlineStr">
        <is>
          <t xml:space="preserve">SH32M10темно-синий,белый</t>
        </is>
      </c>
      <c r="E897" t="inlineStr">
        <is>
          <t xml:space="preserve">белый, темно-синий</t>
        </is>
      </c>
      <c r="F897" t="inlineStr">
        <is>
          <t xml:space="preserve">50</t>
        </is>
      </c>
      <c r="G897">
        <v>29</v>
      </c>
      <c r="H897" s="2">
        <v>44.0</v>
      </c>
      <c r="I897" t="inlineStr">
        <is>
          <t xml:space="preserve">100% вискоза</t>
        </is>
      </c>
      <c r="J897"/>
      <c r="K897" t="inlineStr">
        <is>
          <t xml:space="preserve">Бангладеш</t>
        </is>
      </c>
      <c r="L897" t="inlineStr">
        <is>
          <t xml:space="preserve">6205300000</t>
        </is>
      </c>
      <c r="M897" t="inlineStr">
        <is>
          <t xml:space="preserve">Декларация № ЕАЭС № BY/112 11.01. ТР017 122.01 08246, до 19.04.2028</t>
        </is>
      </c>
      <c r="N897" t="inlineStr">
        <is>
          <t xml:space="preserve">30 × 35 × 1</t>
        </is>
      </c>
      <c r="O897" t="inlineStr">
        <is>
          <t xml:space="preserve">0,25</t>
        </is>
      </c>
      <c r="P897" t="inlineStr">
        <is>
          <t xml:space="preserve">4816148109286</t>
        </is>
      </c>
      <c r="Q897" s="3" t="str">
        <f>HYPERLINK("https://modify.by/img/210556649/1.webp","фото")</f>
        <v>фото</v>
      </c>
      <c r="R897" s="3" t="str">
        <f>HYPERLINK("https://modify.by/catalog/rubashki/210556649/?utm_source=price&amp;utm_medium=xlsx","открыть")</f>
        <v>открыть</v>
      </c>
    </row>
    <row r="898">
      <c r="A898" t="inlineStr">
        <is>
          <t xml:space="preserve">Мужской</t>
        </is>
      </c>
      <c r="B898" t="inlineStr">
        <is>
          <t xml:space="preserve">Рубашки</t>
        </is>
      </c>
      <c r="C898" t="inlineStr">
        <is>
          <t xml:space="preserve">Рубашка летняя гавайская свободная 100% вискоза, белый</t>
        </is>
      </c>
      <c r="D898" t="inlineStr">
        <is>
          <t xml:space="preserve">SH32M10темно-синий,белый</t>
        </is>
      </c>
      <c r="E898" t="inlineStr">
        <is>
          <t xml:space="preserve">белый, темно-синий</t>
        </is>
      </c>
      <c r="F898" t="inlineStr">
        <is>
          <t xml:space="preserve">52</t>
        </is>
      </c>
      <c r="G898">
        <v>2</v>
      </c>
      <c r="H898" s="2">
        <v>44.0</v>
      </c>
      <c r="I898" t="inlineStr">
        <is>
          <t xml:space="preserve">100% вискоза</t>
        </is>
      </c>
      <c r="J898"/>
      <c r="K898" t="inlineStr">
        <is>
          <t xml:space="preserve">Бангладеш</t>
        </is>
      </c>
      <c r="L898" t="inlineStr">
        <is>
          <t xml:space="preserve">6205300000</t>
        </is>
      </c>
      <c r="M898" t="inlineStr">
        <is>
          <t xml:space="preserve">Декларация № ЕАЭС № BY/112 11.01. ТР017 122.01 08246, до 19.04.2028</t>
        </is>
      </c>
      <c r="N898" t="inlineStr">
        <is>
          <t xml:space="preserve">30 × 35 × 1</t>
        </is>
      </c>
      <c r="O898" t="inlineStr">
        <is>
          <t xml:space="preserve">0,25</t>
        </is>
      </c>
      <c r="P898" t="inlineStr">
        <is>
          <t xml:space="preserve">2038096196473</t>
        </is>
      </c>
      <c r="Q898" s="3" t="str">
        <f>HYPERLINK("https://modify.by/img/210556649/1.webp","фото")</f>
        <v>фото</v>
      </c>
      <c r="R898" s="3" t="str">
        <f>HYPERLINK("https://modify.by/catalog/rubashki/210556649/?utm_source=price&amp;utm_medium=xlsx","открыть")</f>
        <v>открыть</v>
      </c>
    </row>
    <row r="899">
      <c r="A899" t="inlineStr">
        <is>
          <t xml:space="preserve">Мужской</t>
        </is>
      </c>
      <c r="B899" t="inlineStr">
        <is>
          <t xml:space="preserve">Рубашки</t>
        </is>
      </c>
      <c r="C899" t="inlineStr">
        <is>
          <t xml:space="preserve">Рубашка летняя гавайская свободная 100% вискоза, белый</t>
        </is>
      </c>
      <c r="D899" t="inlineStr">
        <is>
          <t xml:space="preserve">SH32M10темно-синий,белый</t>
        </is>
      </c>
      <c r="E899" t="inlineStr">
        <is>
          <t xml:space="preserve">белый, темно-синий</t>
        </is>
      </c>
      <c r="F899" t="inlineStr">
        <is>
          <t xml:space="preserve">52</t>
        </is>
      </c>
      <c r="G899">
        <v>2</v>
      </c>
      <c r="H899" s="2">
        <v>44.0</v>
      </c>
      <c r="I899" t="inlineStr">
        <is>
          <t xml:space="preserve">100% вискоза</t>
        </is>
      </c>
      <c r="J899"/>
      <c r="K899" t="inlineStr">
        <is>
          <t xml:space="preserve">Бангладеш</t>
        </is>
      </c>
      <c r="L899" t="inlineStr">
        <is>
          <t xml:space="preserve">6205300000</t>
        </is>
      </c>
      <c r="M899" t="inlineStr">
        <is>
          <t xml:space="preserve">Декларация № ЕАЭС № BY/112 11.01. ТР017 122.01 08246, до 19.04.2028</t>
        </is>
      </c>
      <c r="N899" t="inlineStr">
        <is>
          <t xml:space="preserve">30 × 35 × 1</t>
        </is>
      </c>
      <c r="O899" t="inlineStr">
        <is>
          <t xml:space="preserve">0,25</t>
        </is>
      </c>
      <c r="P899" t="inlineStr">
        <is>
          <t xml:space="preserve">4816148109293</t>
        </is>
      </c>
      <c r="Q899" s="3" t="str">
        <f>HYPERLINK("https://modify.by/img/210556649/1.webp","фото")</f>
        <v>фото</v>
      </c>
      <c r="R899" s="3" t="str">
        <f>HYPERLINK("https://modify.by/catalog/rubashki/210556649/?utm_source=price&amp;utm_medium=xlsx","открыть")</f>
        <v>открыть</v>
      </c>
    </row>
    <row r="900">
      <c r="A900" t="inlineStr">
        <is>
          <t xml:space="preserve">Мужской</t>
        </is>
      </c>
      <c r="B900" t="inlineStr">
        <is>
          <t xml:space="preserve">Рубашки</t>
        </is>
      </c>
      <c r="C900" t="inlineStr">
        <is>
          <t xml:space="preserve">Рубашка летняя гавайская свободная 100% вискоза, васильковый</t>
        </is>
      </c>
      <c r="D900" t="inlineStr">
        <is>
          <t xml:space="preserve">SH32M10васильковый,белый</t>
        </is>
      </c>
      <c r="E900" t="inlineStr">
        <is>
          <t xml:space="preserve">васильковый, белый</t>
        </is>
      </c>
      <c r="F900" t="inlineStr">
        <is>
          <t xml:space="preserve">48</t>
        </is>
      </c>
      <c r="G900">
        <v>65</v>
      </c>
      <c r="H900" s="2">
        <v>44.0</v>
      </c>
      <c r="I900" t="inlineStr">
        <is>
          <t xml:space="preserve">100% вискоза</t>
        </is>
      </c>
      <c r="J900"/>
      <c r="K900" t="inlineStr">
        <is>
          <t xml:space="preserve">Бангладеш</t>
        </is>
      </c>
      <c r="L900" t="inlineStr">
        <is>
          <t xml:space="preserve">6205300000</t>
        </is>
      </c>
      <c r="M900" t="inlineStr">
        <is>
          <t xml:space="preserve">Декларация № ЕАЭС № BY/112 11.01. ТР017 122.01 08246, до 19.04.2028</t>
        </is>
      </c>
      <c r="N900" t="inlineStr">
        <is>
          <t xml:space="preserve">30 × 35 × 1</t>
        </is>
      </c>
      <c r="O900" t="inlineStr">
        <is>
          <t xml:space="preserve">0,2</t>
        </is>
      </c>
      <c r="P900" t="inlineStr">
        <is>
          <t xml:space="preserve">2038096196299</t>
        </is>
      </c>
      <c r="Q900" s="3" t="str">
        <f>HYPERLINK("https://modify.by/img/210556644/1.webp","фото")</f>
        <v>фото</v>
      </c>
      <c r="R900" s="3" t="str">
        <f>HYPERLINK("https://modify.by/catalog/rubashki/210556644/?utm_source=price&amp;utm_medium=xlsx","открыть")</f>
        <v>открыть</v>
      </c>
    </row>
    <row r="901">
      <c r="A901" t="inlineStr">
        <is>
          <t xml:space="preserve">Мужской</t>
        </is>
      </c>
      <c r="B901" t="inlineStr">
        <is>
          <t xml:space="preserve">Рубашки</t>
        </is>
      </c>
      <c r="C901" t="inlineStr">
        <is>
          <t xml:space="preserve">Рубашка летняя гавайская свободная 100% вискоза, васильковый</t>
        </is>
      </c>
      <c r="D901" t="inlineStr">
        <is>
          <t xml:space="preserve">SH32M10васильковый,белый</t>
        </is>
      </c>
      <c r="E901" t="inlineStr">
        <is>
          <t xml:space="preserve">васильковый, белый</t>
        </is>
      </c>
      <c r="F901" t="inlineStr">
        <is>
          <t xml:space="preserve">48</t>
        </is>
      </c>
      <c r="G901">
        <v>65</v>
      </c>
      <c r="H901" s="2">
        <v>44.0</v>
      </c>
      <c r="I901" t="inlineStr">
        <is>
          <t xml:space="preserve">100% вискоза</t>
        </is>
      </c>
      <c r="J901"/>
      <c r="K901" t="inlineStr">
        <is>
          <t xml:space="preserve">Бангладеш</t>
        </is>
      </c>
      <c r="L901" t="inlineStr">
        <is>
          <t xml:space="preserve">6205300000</t>
        </is>
      </c>
      <c r="M901" t="inlineStr">
        <is>
          <t xml:space="preserve">Декларация № ЕАЭС № BY/112 11.01. ТР017 122.01 08246, до 19.04.2028</t>
        </is>
      </c>
      <c r="N901" t="inlineStr">
        <is>
          <t xml:space="preserve">30 × 35 × 1</t>
        </is>
      </c>
      <c r="O901" t="inlineStr">
        <is>
          <t xml:space="preserve">0,2</t>
        </is>
      </c>
      <c r="P901" t="inlineStr">
        <is>
          <t xml:space="preserve">4816148109255</t>
        </is>
      </c>
      <c r="Q901" s="3" t="str">
        <f>HYPERLINK("https://modify.by/img/210556644/1.webp","фото")</f>
        <v>фото</v>
      </c>
      <c r="R901" s="3" t="str">
        <f>HYPERLINK("https://modify.by/catalog/rubashki/210556644/?utm_source=price&amp;utm_medium=xlsx","открыть")</f>
        <v>открыть</v>
      </c>
    </row>
    <row r="902">
      <c r="A902" t="inlineStr">
        <is>
          <t xml:space="preserve">Мужской</t>
        </is>
      </c>
      <c r="B902" t="inlineStr">
        <is>
          <t xml:space="preserve">Рубашки</t>
        </is>
      </c>
      <c r="C902" t="inlineStr">
        <is>
          <t xml:space="preserve">Рубашка летняя гавайская свободная 100% вискоза, васильковый</t>
        </is>
      </c>
      <c r="D902" t="inlineStr">
        <is>
          <t xml:space="preserve">SH32M10васильковый,белый</t>
        </is>
      </c>
      <c r="E902" t="inlineStr">
        <is>
          <t xml:space="preserve">васильковый, белый</t>
        </is>
      </c>
      <c r="F902" t="inlineStr">
        <is>
          <t xml:space="preserve">50</t>
        </is>
      </c>
      <c r="G902">
        <v>41</v>
      </c>
      <c r="H902" s="2">
        <v>44.0</v>
      </c>
      <c r="I902" t="inlineStr">
        <is>
          <t xml:space="preserve">100% вискоза</t>
        </is>
      </c>
      <c r="J902"/>
      <c r="K902" t="inlineStr">
        <is>
          <t xml:space="preserve">Бангладеш</t>
        </is>
      </c>
      <c r="L902" t="inlineStr">
        <is>
          <t xml:space="preserve">6205300000</t>
        </is>
      </c>
      <c r="M902" t="inlineStr">
        <is>
          <t xml:space="preserve">Декларация № ЕАЭС № BY/112 11.01. ТР017 122.01 08246, до 19.04.2028</t>
        </is>
      </c>
      <c r="N902" t="inlineStr">
        <is>
          <t xml:space="preserve">30 × 35 × 1</t>
        </is>
      </c>
      <c r="O902" t="inlineStr">
        <is>
          <t xml:space="preserve">0,2</t>
        </is>
      </c>
      <c r="P902" t="inlineStr">
        <is>
          <t xml:space="preserve">2038096196305</t>
        </is>
      </c>
      <c r="Q902" s="3" t="str">
        <f>HYPERLINK("https://modify.by/img/210556644/1.webp","фото")</f>
        <v>фото</v>
      </c>
      <c r="R902" s="3" t="str">
        <f>HYPERLINK("https://modify.by/catalog/rubashki/210556644/?utm_source=price&amp;utm_medium=xlsx","открыть")</f>
        <v>открыть</v>
      </c>
    </row>
    <row r="903">
      <c r="A903" t="inlineStr">
        <is>
          <t xml:space="preserve">Мужской</t>
        </is>
      </c>
      <c r="B903" t="inlineStr">
        <is>
          <t xml:space="preserve">Рубашки</t>
        </is>
      </c>
      <c r="C903" t="inlineStr">
        <is>
          <t xml:space="preserve">Рубашка летняя гавайская свободная 100% вискоза, васильковый</t>
        </is>
      </c>
      <c r="D903" t="inlineStr">
        <is>
          <t xml:space="preserve">SH32M10васильковый,белый</t>
        </is>
      </c>
      <c r="E903" t="inlineStr">
        <is>
          <t xml:space="preserve">васильковый, белый</t>
        </is>
      </c>
      <c r="F903" t="inlineStr">
        <is>
          <t xml:space="preserve">50</t>
        </is>
      </c>
      <c r="G903">
        <v>41</v>
      </c>
      <c r="H903" s="2">
        <v>44.0</v>
      </c>
      <c r="I903" t="inlineStr">
        <is>
          <t xml:space="preserve">100% вискоза</t>
        </is>
      </c>
      <c r="J903"/>
      <c r="K903" t="inlineStr">
        <is>
          <t xml:space="preserve">Бангладеш</t>
        </is>
      </c>
      <c r="L903" t="inlineStr">
        <is>
          <t xml:space="preserve">6205300000</t>
        </is>
      </c>
      <c r="M903" t="inlineStr">
        <is>
          <t xml:space="preserve">Декларация № ЕАЭС № BY/112 11.01. ТР017 122.01 08246, до 19.04.2028</t>
        </is>
      </c>
      <c r="N903" t="inlineStr">
        <is>
          <t xml:space="preserve">30 × 35 × 1</t>
        </is>
      </c>
      <c r="O903" t="inlineStr">
        <is>
          <t xml:space="preserve">0,2</t>
        </is>
      </c>
      <c r="P903" t="inlineStr">
        <is>
          <t xml:space="preserve">4816148109262</t>
        </is>
      </c>
      <c r="Q903" s="3" t="str">
        <f>HYPERLINK("https://modify.by/img/210556644/1.webp","фото")</f>
        <v>фото</v>
      </c>
      <c r="R903" s="3" t="str">
        <f>HYPERLINK("https://modify.by/catalog/rubashki/210556644/?utm_source=price&amp;utm_medium=xlsx","открыть")</f>
        <v>открыть</v>
      </c>
    </row>
    <row r="904">
      <c r="A904" t="inlineStr">
        <is>
          <t xml:space="preserve">Мужской</t>
        </is>
      </c>
      <c r="B904" t="inlineStr">
        <is>
          <t xml:space="preserve">Рубашки</t>
        </is>
      </c>
      <c r="C904" t="inlineStr">
        <is>
          <t xml:space="preserve">Рубашка летняя гавайская свободная 100% вискоза, голубой</t>
        </is>
      </c>
      <c r="D904" t="inlineStr">
        <is>
          <t xml:space="preserve">SH32M10бежевый,голубой</t>
        </is>
      </c>
      <c r="E904" t="inlineStr">
        <is>
          <t xml:space="preserve">желтый, голубой, белый, бежевый</t>
        </is>
      </c>
      <c r="F904" t="inlineStr">
        <is>
          <t xml:space="preserve">48</t>
        </is>
      </c>
      <c r="G904">
        <v>27</v>
      </c>
      <c r="H904" s="2">
        <v>44.0</v>
      </c>
      <c r="I904" t="inlineStr">
        <is>
          <t xml:space="preserve">100% вискоза</t>
        </is>
      </c>
      <c r="J904"/>
      <c r="K904" t="inlineStr">
        <is>
          <t xml:space="preserve">Бангладеш</t>
        </is>
      </c>
      <c r="L904" t="inlineStr">
        <is>
          <t xml:space="preserve">6205300000</t>
        </is>
      </c>
      <c r="M904" t="inlineStr">
        <is>
          <t xml:space="preserve">Декларация № ЕАЭС № BY/112 11.01. ТР017 122.01 08246, до 19.04.2028</t>
        </is>
      </c>
      <c r="N904" t="inlineStr">
        <is>
          <t xml:space="preserve">30 × 35 × 1</t>
        </is>
      </c>
      <c r="O904" t="inlineStr">
        <is>
          <t xml:space="preserve">0,2</t>
        </is>
      </c>
      <c r="P904" t="inlineStr">
        <is>
          <t xml:space="preserve">2038096196336</t>
        </is>
      </c>
      <c r="Q904" s="3" t="str">
        <f>HYPERLINK("https://modify.by/img/210556836/1.webp","фото")</f>
        <v>фото</v>
      </c>
      <c r="R904" s="3" t="str">
        <f>HYPERLINK("https://modify.by/catalog/rubashki/210556836/?utm_source=price&amp;utm_medium=xlsx","открыть")</f>
        <v>открыть</v>
      </c>
    </row>
    <row r="905">
      <c r="A905" t="inlineStr">
        <is>
          <t xml:space="preserve">Мужской</t>
        </is>
      </c>
      <c r="B905" t="inlineStr">
        <is>
          <t xml:space="preserve">Рубашки</t>
        </is>
      </c>
      <c r="C905" t="inlineStr">
        <is>
          <t xml:space="preserve">Рубашка летняя гавайская свободная 100% вискоза, голубой</t>
        </is>
      </c>
      <c r="D905" t="inlineStr">
        <is>
          <t xml:space="preserve">SH32M10бежевый,голубой</t>
        </is>
      </c>
      <c r="E905" t="inlineStr">
        <is>
          <t xml:space="preserve">желтый, голубой, белый, бежевый</t>
        </is>
      </c>
      <c r="F905" t="inlineStr">
        <is>
          <t xml:space="preserve">48</t>
        </is>
      </c>
      <c r="G905">
        <v>27</v>
      </c>
      <c r="H905" s="2">
        <v>44.0</v>
      </c>
      <c r="I905" t="inlineStr">
        <is>
          <t xml:space="preserve">100% вискоза</t>
        </is>
      </c>
      <c r="J905"/>
      <c r="K905" t="inlineStr">
        <is>
          <t xml:space="preserve">Бангладеш</t>
        </is>
      </c>
      <c r="L905" t="inlineStr">
        <is>
          <t xml:space="preserve">6205300000</t>
        </is>
      </c>
      <c r="M905" t="inlineStr">
        <is>
          <t xml:space="preserve">Декларация № ЕАЭС № BY/112 11.01. ТР017 122.01 08246, до 19.04.2028</t>
        </is>
      </c>
      <c r="N905" t="inlineStr">
        <is>
          <t xml:space="preserve">30 × 35 × 1</t>
        </is>
      </c>
      <c r="O905" t="inlineStr">
        <is>
          <t xml:space="preserve">0,2</t>
        </is>
      </c>
      <c r="P905" t="inlineStr">
        <is>
          <t xml:space="preserve">4816148109231</t>
        </is>
      </c>
      <c r="Q905" s="3" t="str">
        <f>HYPERLINK("https://modify.by/img/210556836/1.webp","фото")</f>
        <v>фото</v>
      </c>
      <c r="R905" s="3" t="str">
        <f>HYPERLINK("https://modify.by/catalog/rubashki/210556836/?utm_source=price&amp;utm_medium=xlsx","открыть")</f>
        <v>открыть</v>
      </c>
    </row>
    <row r="906">
      <c r="A906" t="inlineStr">
        <is>
          <t xml:space="preserve">Мужской</t>
        </is>
      </c>
      <c r="B906" t="inlineStr">
        <is>
          <t xml:space="preserve">Рубашки</t>
        </is>
      </c>
      <c r="C906" t="inlineStr">
        <is>
          <t xml:space="preserve">Рубашка летняя гавайская свободная 100% вискоза, голубой</t>
        </is>
      </c>
      <c r="D906" t="inlineStr">
        <is>
          <t xml:space="preserve">SH32M10бежевый,голубой</t>
        </is>
      </c>
      <c r="E906" t="inlineStr">
        <is>
          <t xml:space="preserve">желтый, голубой, белый, бежевый</t>
        </is>
      </c>
      <c r="F906" t="inlineStr">
        <is>
          <t xml:space="preserve">50</t>
        </is>
      </c>
      <c r="G906">
        <v>56</v>
      </c>
      <c r="H906" s="2">
        <v>44.0</v>
      </c>
      <c r="I906" t="inlineStr">
        <is>
          <t xml:space="preserve">100% вискоза</t>
        </is>
      </c>
      <c r="J906"/>
      <c r="K906" t="inlineStr">
        <is>
          <t xml:space="preserve">Бангладеш</t>
        </is>
      </c>
      <c r="L906" t="inlineStr">
        <is>
          <t xml:space="preserve">6205300000</t>
        </is>
      </c>
      <c r="M906" t="inlineStr">
        <is>
          <t xml:space="preserve">Декларация № ЕАЭС № BY/112 11.01. ТР017 122.01 08246, до 19.04.2028</t>
        </is>
      </c>
      <c r="N906" t="inlineStr">
        <is>
          <t xml:space="preserve">30 × 35 × 1</t>
        </is>
      </c>
      <c r="O906" t="inlineStr">
        <is>
          <t xml:space="preserve">0,2</t>
        </is>
      </c>
      <c r="P906" t="inlineStr">
        <is>
          <t xml:space="preserve">2038096196343</t>
        </is>
      </c>
      <c r="Q906" s="3" t="str">
        <f>HYPERLINK("https://modify.by/img/210556836/1.webp","фото")</f>
        <v>фото</v>
      </c>
      <c r="R906" s="3" t="str">
        <f>HYPERLINK("https://modify.by/catalog/rubashki/210556836/?utm_source=price&amp;utm_medium=xlsx","открыть")</f>
        <v>открыть</v>
      </c>
    </row>
    <row r="907">
      <c r="A907" t="inlineStr">
        <is>
          <t xml:space="preserve">Мужской</t>
        </is>
      </c>
      <c r="B907" t="inlineStr">
        <is>
          <t xml:space="preserve">Рубашки</t>
        </is>
      </c>
      <c r="C907" t="inlineStr">
        <is>
          <t xml:space="preserve">Рубашка летняя гавайская свободная 100% вискоза, голубой</t>
        </is>
      </c>
      <c r="D907" t="inlineStr">
        <is>
          <t xml:space="preserve">SH32M10бежевый,голубой</t>
        </is>
      </c>
      <c r="E907" t="inlineStr">
        <is>
          <t xml:space="preserve">желтый, голубой, белый, бежевый</t>
        </is>
      </c>
      <c r="F907" t="inlineStr">
        <is>
          <t xml:space="preserve">50</t>
        </is>
      </c>
      <c r="G907">
        <v>56</v>
      </c>
      <c r="H907" s="2">
        <v>44.0</v>
      </c>
      <c r="I907" t="inlineStr">
        <is>
          <t xml:space="preserve">100% вискоза</t>
        </is>
      </c>
      <c r="J907"/>
      <c r="K907" t="inlineStr">
        <is>
          <t xml:space="preserve">Бангладеш</t>
        </is>
      </c>
      <c r="L907" t="inlineStr">
        <is>
          <t xml:space="preserve">6205300000</t>
        </is>
      </c>
      <c r="M907" t="inlineStr">
        <is>
          <t xml:space="preserve">Декларация № ЕАЭС № BY/112 11.01. ТР017 122.01 08246, до 19.04.2028</t>
        </is>
      </c>
      <c r="N907" t="inlineStr">
        <is>
          <t xml:space="preserve">30 × 35 × 1</t>
        </is>
      </c>
      <c r="O907" t="inlineStr">
        <is>
          <t xml:space="preserve">0,2</t>
        </is>
      </c>
      <c r="P907" t="inlineStr">
        <is>
          <t xml:space="preserve">4816148109248</t>
        </is>
      </c>
      <c r="Q907" s="3" t="str">
        <f>HYPERLINK("https://modify.by/img/210556836/1.webp","фото")</f>
        <v>фото</v>
      </c>
      <c r="R907" s="3" t="str">
        <f>HYPERLINK("https://modify.by/catalog/rubashki/210556836/?utm_source=price&amp;utm_medium=xlsx","открыть")</f>
        <v>открыть</v>
      </c>
    </row>
    <row r="908">
      <c r="A908" t="inlineStr">
        <is>
          <t xml:space="preserve">Мужской</t>
        </is>
      </c>
      <c r="B908" t="inlineStr">
        <is>
          <t xml:space="preserve">Рубашки</t>
        </is>
      </c>
      <c r="C908" t="inlineStr">
        <is>
          <t xml:space="preserve">Рубашка летняя гавайская свободная 100% вискоза, зеленый</t>
        </is>
      </c>
      <c r="D908" t="inlineStr">
        <is>
          <t xml:space="preserve">SH32M10черный,зеленый</t>
        </is>
      </c>
      <c r="E908" t="inlineStr">
        <is>
          <t xml:space="preserve">желтый, зеленый, черный, белый</t>
        </is>
      </c>
      <c r="F908" t="inlineStr">
        <is>
          <t xml:space="preserve">48</t>
        </is>
      </c>
      <c r="G908">
        <v>26</v>
      </c>
      <c r="H908" s="2">
        <v>44.0</v>
      </c>
      <c r="I908" t="inlineStr">
        <is>
          <t xml:space="preserve">100% вискоза</t>
        </is>
      </c>
      <c r="J908"/>
      <c r="K908" t="inlineStr">
        <is>
          <t xml:space="preserve">Бангладеш</t>
        </is>
      </c>
      <c r="L908" t="inlineStr">
        <is>
          <t xml:space="preserve">6205300000</t>
        </is>
      </c>
      <c r="M908" t="inlineStr">
        <is>
          <t xml:space="preserve">Декларация № ЕАЭС № BY/112 11.01. ТР017 122.01 08246, до 19.04.2028</t>
        </is>
      </c>
      <c r="N908" t="inlineStr">
        <is>
          <t xml:space="preserve">30 × 35 × 1</t>
        </is>
      </c>
      <c r="O908" t="inlineStr">
        <is>
          <t xml:space="preserve">0,25</t>
        </is>
      </c>
      <c r="P908" t="inlineStr">
        <is>
          <t xml:space="preserve">2038096196411</t>
        </is>
      </c>
      <c r="Q908" s="3" t="str">
        <f>HYPERLINK("https://modify.by/img/210556646/1.webp","фото")</f>
        <v>фото</v>
      </c>
      <c r="R908" s="3" t="str">
        <f>HYPERLINK("https://modify.by/catalog/rubashki/210556646/?utm_source=price&amp;utm_medium=xlsx","открыть")</f>
        <v>открыть</v>
      </c>
    </row>
    <row r="909">
      <c r="A909" t="inlineStr">
        <is>
          <t xml:space="preserve">Мужской</t>
        </is>
      </c>
      <c r="B909" t="inlineStr">
        <is>
          <t xml:space="preserve">Рубашки</t>
        </is>
      </c>
      <c r="C909" t="inlineStr">
        <is>
          <t xml:space="preserve">Рубашка летняя гавайская свободная 100% вискоза, зеленый</t>
        </is>
      </c>
      <c r="D909" t="inlineStr">
        <is>
          <t xml:space="preserve">SH32M10черный,зеленый</t>
        </is>
      </c>
      <c r="E909" t="inlineStr">
        <is>
          <t xml:space="preserve">желтый, зеленый, черный, белый</t>
        </is>
      </c>
      <c r="F909" t="inlineStr">
        <is>
          <t xml:space="preserve">48</t>
        </is>
      </c>
      <c r="G909">
        <v>26</v>
      </c>
      <c r="H909" s="2">
        <v>44.0</v>
      </c>
      <c r="I909" t="inlineStr">
        <is>
          <t xml:space="preserve">100% вискоза</t>
        </is>
      </c>
      <c r="J909"/>
      <c r="K909" t="inlineStr">
        <is>
          <t xml:space="preserve">Бангладеш</t>
        </is>
      </c>
      <c r="L909" t="inlineStr">
        <is>
          <t xml:space="preserve">6205300000</t>
        </is>
      </c>
      <c r="M909" t="inlineStr">
        <is>
          <t xml:space="preserve">Декларация № ЕАЭС № BY/112 11.01. ТР017 122.01 08246, до 19.04.2028</t>
        </is>
      </c>
      <c r="N909" t="inlineStr">
        <is>
          <t xml:space="preserve">30 × 35 × 1</t>
        </is>
      </c>
      <c r="O909" t="inlineStr">
        <is>
          <t xml:space="preserve">0,25</t>
        </is>
      </c>
      <c r="P909" t="inlineStr">
        <is>
          <t xml:space="preserve">4816148109309</t>
        </is>
      </c>
      <c r="Q909" s="3" t="str">
        <f>HYPERLINK("https://modify.by/img/210556646/1.webp","фото")</f>
        <v>фото</v>
      </c>
      <c r="R909" s="3" t="str">
        <f>HYPERLINK("https://modify.by/catalog/rubashki/210556646/?utm_source=price&amp;utm_medium=xlsx","открыть")</f>
        <v>открыть</v>
      </c>
    </row>
    <row r="910">
      <c r="A910" t="inlineStr">
        <is>
          <t xml:space="preserve">Мужской</t>
        </is>
      </c>
      <c r="B910" t="inlineStr">
        <is>
          <t xml:space="preserve">Рубашки</t>
        </is>
      </c>
      <c r="C910" t="inlineStr">
        <is>
          <t xml:space="preserve">Рубашка летняя гавайская свободная 100% вискоза, зеленый</t>
        </is>
      </c>
      <c r="D910" t="inlineStr">
        <is>
          <t xml:space="preserve">SH32M10черный,зеленый</t>
        </is>
      </c>
      <c r="E910" t="inlineStr">
        <is>
          <t xml:space="preserve">желтый, зеленый, черный, белый</t>
        </is>
      </c>
      <c r="F910" t="inlineStr">
        <is>
          <t xml:space="preserve">50</t>
        </is>
      </c>
      <c r="G910">
        <v>59</v>
      </c>
      <c r="H910" s="2">
        <v>44.0</v>
      </c>
      <c r="I910" t="inlineStr">
        <is>
          <t xml:space="preserve">100% вискоза</t>
        </is>
      </c>
      <c r="J910"/>
      <c r="K910" t="inlineStr">
        <is>
          <t xml:space="preserve">Бангладеш</t>
        </is>
      </c>
      <c r="L910" t="inlineStr">
        <is>
          <t xml:space="preserve">6205300000</t>
        </is>
      </c>
      <c r="M910" t="inlineStr">
        <is>
          <t xml:space="preserve">Декларация № ЕАЭС № BY/112 11.01. ТР017 122.01 08246, до 19.04.2028</t>
        </is>
      </c>
      <c r="N910" t="inlineStr">
        <is>
          <t xml:space="preserve">30 × 35 × 1</t>
        </is>
      </c>
      <c r="O910" t="inlineStr">
        <is>
          <t xml:space="preserve">0,25</t>
        </is>
      </c>
      <c r="P910" t="inlineStr">
        <is>
          <t xml:space="preserve">2038096196428</t>
        </is>
      </c>
      <c r="Q910" s="3" t="str">
        <f>HYPERLINK("https://modify.by/img/210556646/1.webp","фото")</f>
        <v>фото</v>
      </c>
      <c r="R910" s="3" t="str">
        <f>HYPERLINK("https://modify.by/catalog/rubashki/210556646/?utm_source=price&amp;utm_medium=xlsx","открыть")</f>
        <v>открыть</v>
      </c>
    </row>
    <row r="911">
      <c r="A911" t="inlineStr">
        <is>
          <t xml:space="preserve">Мужской</t>
        </is>
      </c>
      <c r="B911" t="inlineStr">
        <is>
          <t xml:space="preserve">Рубашки</t>
        </is>
      </c>
      <c r="C911" t="inlineStr">
        <is>
          <t xml:space="preserve">Рубашка летняя гавайская свободная 100% вискоза, зеленый</t>
        </is>
      </c>
      <c r="D911" t="inlineStr">
        <is>
          <t xml:space="preserve">SH32M10черный,зеленый</t>
        </is>
      </c>
      <c r="E911" t="inlineStr">
        <is>
          <t xml:space="preserve">желтый, зеленый, черный, белый</t>
        </is>
      </c>
      <c r="F911" t="inlineStr">
        <is>
          <t xml:space="preserve">50</t>
        </is>
      </c>
      <c r="G911">
        <v>59</v>
      </c>
      <c r="H911" s="2">
        <v>44.0</v>
      </c>
      <c r="I911" t="inlineStr">
        <is>
          <t xml:space="preserve">100% вискоза</t>
        </is>
      </c>
      <c r="J911"/>
      <c r="K911" t="inlineStr">
        <is>
          <t xml:space="preserve">Бангладеш</t>
        </is>
      </c>
      <c r="L911" t="inlineStr">
        <is>
          <t xml:space="preserve">6205300000</t>
        </is>
      </c>
      <c r="M911" t="inlineStr">
        <is>
          <t xml:space="preserve">Декларация № ЕАЭС № BY/112 11.01. ТР017 122.01 08246, до 19.04.2028</t>
        </is>
      </c>
      <c r="N911" t="inlineStr">
        <is>
          <t xml:space="preserve">30 × 35 × 1</t>
        </is>
      </c>
      <c r="O911" t="inlineStr">
        <is>
          <t xml:space="preserve">0,25</t>
        </is>
      </c>
      <c r="P911" t="inlineStr">
        <is>
          <t xml:space="preserve">4816148109316</t>
        </is>
      </c>
      <c r="Q911" s="3" t="str">
        <f>HYPERLINK("https://modify.by/img/210556646/1.webp","фото")</f>
        <v>фото</v>
      </c>
      <c r="R911" s="3" t="str">
        <f>HYPERLINK("https://modify.by/catalog/rubashki/210556646/?utm_source=price&amp;utm_medium=xlsx","открыть")</f>
        <v>открыть</v>
      </c>
    </row>
    <row r="912">
      <c r="A912" t="inlineStr">
        <is>
          <t xml:space="preserve">Мужской</t>
        </is>
      </c>
      <c r="B912" t="inlineStr">
        <is>
          <t xml:space="preserve">Рубашки</t>
        </is>
      </c>
      <c r="C912" t="inlineStr">
        <is>
          <t xml:space="preserve">Рубашка летняя гавайская свободная 100% вискоза, красный</t>
        </is>
      </c>
      <c r="D912" t="inlineStr">
        <is>
          <t xml:space="preserve">SH32M10красный,молочный</t>
        </is>
      </c>
      <c r="E912" t="inlineStr">
        <is>
          <t xml:space="preserve">красный, молочный</t>
        </is>
      </c>
      <c r="F912" t="inlineStr">
        <is>
          <t xml:space="preserve">46</t>
        </is>
      </c>
      <c r="G912">
        <v>1</v>
      </c>
      <c r="H912" s="2">
        <v>44.0</v>
      </c>
      <c r="I912" t="inlineStr">
        <is>
          <t xml:space="preserve">100% вискоза</t>
        </is>
      </c>
      <c r="J912"/>
      <c r="K912" t="inlineStr">
        <is>
          <t xml:space="preserve">Бангладеш</t>
        </is>
      </c>
      <c r="L912" t="inlineStr">
        <is>
          <t xml:space="preserve">6205300000</t>
        </is>
      </c>
      <c r="M912" t="inlineStr">
        <is>
          <t xml:space="preserve">Декларация № ЕАЭС № BY/112 11.01. ТР017 122.01 08246, до 19.04.2028</t>
        </is>
      </c>
      <c r="N912" t="inlineStr">
        <is>
          <t xml:space="preserve">30 × 35 × 2</t>
        </is>
      </c>
      <c r="O912" t="inlineStr">
        <is>
          <t xml:space="preserve">0,25</t>
        </is>
      </c>
      <c r="P912" t="inlineStr">
        <is>
          <t xml:space="preserve">2038096196367</t>
        </is>
      </c>
      <c r="Q912" s="3" t="str">
        <f>HYPERLINK("https://modify.by/img/210556651/1.webp","фото")</f>
        <v>фото</v>
      </c>
      <c r="R912" s="3" t="str">
        <f>HYPERLINK("https://modify.by/catalog/rubashki/210556651/?utm_source=price&amp;utm_medium=xlsx","открыть")</f>
        <v>открыть</v>
      </c>
    </row>
    <row r="913">
      <c r="A913" t="inlineStr">
        <is>
          <t xml:space="preserve">Мужской</t>
        </is>
      </c>
      <c r="B913" t="inlineStr">
        <is>
          <t xml:space="preserve">Рубашки</t>
        </is>
      </c>
      <c r="C913" t="inlineStr">
        <is>
          <t xml:space="preserve">Рубашка летняя гавайская свободная 100% вискоза, красный</t>
        </is>
      </c>
      <c r="D913" t="inlineStr">
        <is>
          <t xml:space="preserve">SH32M10красный,молочный</t>
        </is>
      </c>
      <c r="E913" t="inlineStr">
        <is>
          <t xml:space="preserve">красный, молочный</t>
        </is>
      </c>
      <c r="F913" t="inlineStr">
        <is>
          <t xml:space="preserve">48</t>
        </is>
      </c>
      <c r="G913">
        <v>1</v>
      </c>
      <c r="H913" s="2">
        <v>44.0</v>
      </c>
      <c r="I913" t="inlineStr">
        <is>
          <t xml:space="preserve">100% вискоза</t>
        </is>
      </c>
      <c r="J913"/>
      <c r="K913" t="inlineStr">
        <is>
          <t xml:space="preserve">Бангладеш</t>
        </is>
      </c>
      <c r="L913" t="inlineStr">
        <is>
          <t xml:space="preserve">6205300000</t>
        </is>
      </c>
      <c r="M913" t="inlineStr">
        <is>
          <t xml:space="preserve">Декларация № ЕАЭС № BY/112 11.01. ТР017 122.01 08246, до 19.04.2028</t>
        </is>
      </c>
      <c r="N913" t="inlineStr">
        <is>
          <t xml:space="preserve">30 × 35 × 2</t>
        </is>
      </c>
      <c r="O913" t="inlineStr">
        <is>
          <t xml:space="preserve">0,25</t>
        </is>
      </c>
      <c r="P913" t="inlineStr">
        <is>
          <t xml:space="preserve">2038096196374</t>
        </is>
      </c>
      <c r="Q913" s="3" t="str">
        <f>HYPERLINK("https://modify.by/img/210556651/1.webp","фото")</f>
        <v>фото</v>
      </c>
      <c r="R913" s="3" t="str">
        <f>HYPERLINK("https://modify.by/catalog/rubashki/210556651/?utm_source=price&amp;utm_medium=xlsx","открыть")</f>
        <v>открыть</v>
      </c>
    </row>
    <row r="914">
      <c r="A914" t="inlineStr">
        <is>
          <t xml:space="preserve">Мужской</t>
        </is>
      </c>
      <c r="B914" t="inlineStr">
        <is>
          <t xml:space="preserve">Рубашки</t>
        </is>
      </c>
      <c r="C914" t="inlineStr">
        <is>
          <t xml:space="preserve">Рубашка летняя, синий</t>
        </is>
      </c>
      <c r="D914" t="inlineStr">
        <is>
          <t xml:space="preserve">SH32M03Синий</t>
        </is>
      </c>
      <c r="E914" t="inlineStr">
        <is>
          <t xml:space="preserve">синий</t>
        </is>
      </c>
      <c r="F914" t="inlineStr">
        <is>
          <t xml:space="preserve">48</t>
        </is>
      </c>
      <c r="G914">
        <v>1</v>
      </c>
      <c r="H914" s="2">
        <v>30.0</v>
      </c>
      <c r="I914" t="inlineStr">
        <is>
          <t xml:space="preserve">Полиэстер 93% Эластан 3%</t>
        </is>
      </c>
      <c r="J914"/>
      <c r="K914" t="inlineStr">
        <is>
          <t xml:space="preserve">Бангладеш</t>
        </is>
      </c>
      <c r="L914" t="inlineStr">
        <is>
          <t xml:space="preserve">6105100000</t>
        </is>
      </c>
      <c r="M914" t="inlineStr">
        <is>
          <t xml:space="preserve">по запросу</t>
        </is>
      </c>
      <c r="N914"/>
      <c r="O914"/>
      <c r="P914" t="inlineStr">
        <is>
          <t xml:space="preserve">2026620784463</t>
        </is>
      </c>
      <c r="Q914" s="3" t="str">
        <f>HYPERLINK("https://modify.by/img/149454948/1.webp","фото")</f>
        <v>фото</v>
      </c>
      <c r="R914" s="3" t="str">
        <f>HYPERLINK("https://modify.by/catalog/rubashki/149454948/?utm_source=price&amp;utm_medium=xlsx","открыть")</f>
        <v>открыть</v>
      </c>
    </row>
    <row r="915">
      <c r="A915" t="inlineStr">
        <is>
          <t xml:space="preserve">Мужской</t>
        </is>
      </c>
      <c r="B915" t="inlineStr">
        <is>
          <t xml:space="preserve">Рубашки</t>
        </is>
      </c>
      <c r="C915" t="inlineStr">
        <is>
          <t xml:space="preserve">Рубашка летняя, темно-синий</t>
        </is>
      </c>
      <c r="D915" t="inlineStr">
        <is>
          <t xml:space="preserve">SH32M03Темно-синий</t>
        </is>
      </c>
      <c r="E915" t="inlineStr">
        <is>
          <t xml:space="preserve">темно-синий</t>
        </is>
      </c>
      <c r="F915" t="inlineStr">
        <is>
          <t xml:space="preserve">48</t>
        </is>
      </c>
      <c r="G915">
        <v>1</v>
      </c>
      <c r="H915" s="2">
        <v>30.0</v>
      </c>
      <c r="I915" t="inlineStr">
        <is>
          <t xml:space="preserve">Полиэстер 93% Эластан 3%</t>
        </is>
      </c>
      <c r="J915"/>
      <c r="K915" t="inlineStr">
        <is>
          <t xml:space="preserve">Бангладеш</t>
        </is>
      </c>
      <c r="L915" t="inlineStr">
        <is>
          <t xml:space="preserve">6105100000</t>
        </is>
      </c>
      <c r="M915" t="inlineStr">
        <is>
          <t xml:space="preserve">по запросу</t>
        </is>
      </c>
      <c r="N915"/>
      <c r="O915"/>
      <c r="P915" t="inlineStr">
        <is>
          <t xml:space="preserve">2026620784500</t>
        </is>
      </c>
      <c r="Q915" s="3" t="str">
        <f>HYPERLINK("https://modify.by/img/149454969/1.webp","фото")</f>
        <v>фото</v>
      </c>
      <c r="R915" s="3" t="str">
        <f>HYPERLINK("https://modify.by/catalog/rubashki/149454969/?utm_source=price&amp;utm_medium=xlsx","открыть")</f>
        <v>открыть</v>
      </c>
    </row>
    <row r="916">
      <c r="A916" t="inlineStr">
        <is>
          <t xml:space="preserve">Мужской</t>
        </is>
      </c>
      <c r="B916" t="inlineStr">
        <is>
          <t xml:space="preserve">Рубашки</t>
        </is>
      </c>
      <c r="C916" t="inlineStr">
        <is>
          <t xml:space="preserve">Рубашка с коротким рукавом хлопок, белый</t>
        </is>
      </c>
      <c r="D916" t="inlineStr">
        <is>
          <t xml:space="preserve">SH42M02белый</t>
        </is>
      </c>
      <c r="E916" t="inlineStr">
        <is>
          <t xml:space="preserve">белый</t>
        </is>
      </c>
      <c r="F916" t="inlineStr">
        <is>
          <t xml:space="preserve">48</t>
        </is>
      </c>
      <c r="G916">
        <v>13</v>
      </c>
      <c r="H916" s="2">
        <v>33.0</v>
      </c>
      <c r="I916" t="inlineStr">
        <is>
          <t xml:space="preserve">хлопок</t>
        </is>
      </c>
      <c r="J916"/>
      <c r="K916" t="inlineStr">
        <is>
          <t xml:space="preserve">Бангладеш</t>
        </is>
      </c>
      <c r="L916" t="inlineStr">
        <is>
          <t xml:space="preserve">6205200000</t>
        </is>
      </c>
      <c r="M916" t="inlineStr">
        <is>
          <t xml:space="preserve">Декларация № ЕАЭС № BY/112 11.01. ТР017 122.01 08246, до 19.04.2028</t>
        </is>
      </c>
      <c r="N916" t="inlineStr">
        <is>
          <t xml:space="preserve">29 × 36 × 2</t>
        </is>
      </c>
      <c r="O916" t="inlineStr">
        <is>
          <t xml:space="preserve">0,25</t>
        </is>
      </c>
      <c r="P916" t="inlineStr">
        <is>
          <t xml:space="preserve">4816148106308</t>
        </is>
      </c>
      <c r="Q916" s="3" t="str">
        <f>HYPERLINK("https://modify.by/img/239188078/1.webp","фото")</f>
        <v>фото</v>
      </c>
      <c r="R916" s="3" t="str">
        <f>HYPERLINK("https://modify.by/catalog/rubashki/239188078/?utm_source=price&amp;utm_medium=xlsx","открыть")</f>
        <v>открыть</v>
      </c>
    </row>
    <row r="917">
      <c r="A917" t="inlineStr">
        <is>
          <t xml:space="preserve">Мужской</t>
        </is>
      </c>
      <c r="B917" t="inlineStr">
        <is>
          <t xml:space="preserve">Рубашки</t>
        </is>
      </c>
      <c r="C917" t="inlineStr">
        <is>
          <t xml:space="preserve">Рубашка с коротким рукавом хлопок, белый</t>
        </is>
      </c>
      <c r="D917" t="inlineStr">
        <is>
          <t xml:space="preserve">SH42M02белый</t>
        </is>
      </c>
      <c r="E917" t="inlineStr">
        <is>
          <t xml:space="preserve">белый</t>
        </is>
      </c>
      <c r="F917" t="inlineStr">
        <is>
          <t xml:space="preserve">50</t>
        </is>
      </c>
      <c r="G917">
        <v>23</v>
      </c>
      <c r="H917" s="2">
        <v>33.0</v>
      </c>
      <c r="I917" t="inlineStr">
        <is>
          <t xml:space="preserve">хлопок</t>
        </is>
      </c>
      <c r="J917"/>
      <c r="K917" t="inlineStr">
        <is>
          <t xml:space="preserve">Бангладеш</t>
        </is>
      </c>
      <c r="L917" t="inlineStr">
        <is>
          <t xml:space="preserve">6205200000</t>
        </is>
      </c>
      <c r="M917" t="inlineStr">
        <is>
          <t xml:space="preserve">Декларация № ЕАЭС № BY/112 11.01. ТР017 122.01 08246, до 19.04.2028</t>
        </is>
      </c>
      <c r="N917" t="inlineStr">
        <is>
          <t xml:space="preserve">29 × 36 × 2</t>
        </is>
      </c>
      <c r="O917" t="inlineStr">
        <is>
          <t xml:space="preserve">0,25</t>
        </is>
      </c>
      <c r="P917" t="inlineStr">
        <is>
          <t xml:space="preserve">4816148106315</t>
        </is>
      </c>
      <c r="Q917" s="3" t="str">
        <f>HYPERLINK("https://modify.by/img/239188078/1.webp","фото")</f>
        <v>фото</v>
      </c>
      <c r="R917" s="3" t="str">
        <f>HYPERLINK("https://modify.by/catalog/rubashki/239188078/?utm_source=price&amp;utm_medium=xlsx","открыть")</f>
        <v>открыть</v>
      </c>
    </row>
    <row r="918">
      <c r="A918" t="inlineStr">
        <is>
          <t xml:space="preserve">Мужской</t>
        </is>
      </c>
      <c r="B918" t="inlineStr">
        <is>
          <t xml:space="preserve">Рубашки</t>
        </is>
      </c>
      <c r="C918" t="inlineStr">
        <is>
          <t xml:space="preserve">Рубашка с коротким рукавом хлопок, белый</t>
        </is>
      </c>
      <c r="D918" t="inlineStr">
        <is>
          <t xml:space="preserve">SH42M02белый</t>
        </is>
      </c>
      <c r="E918" t="inlineStr">
        <is>
          <t xml:space="preserve">белый</t>
        </is>
      </c>
      <c r="F918" t="inlineStr">
        <is>
          <t xml:space="preserve">52</t>
        </is>
      </c>
      <c r="G918">
        <v>16</v>
      </c>
      <c r="H918" s="2">
        <v>33.0</v>
      </c>
      <c r="I918" t="inlineStr">
        <is>
          <t xml:space="preserve">хлопок</t>
        </is>
      </c>
      <c r="J918"/>
      <c r="K918" t="inlineStr">
        <is>
          <t xml:space="preserve">Бангладеш</t>
        </is>
      </c>
      <c r="L918" t="inlineStr">
        <is>
          <t xml:space="preserve">6205200000</t>
        </is>
      </c>
      <c r="M918" t="inlineStr">
        <is>
          <t xml:space="preserve">Декларация № ЕАЭС № BY/112 11.01. ТР017 122.01 08246, до 19.04.2028</t>
        </is>
      </c>
      <c r="N918" t="inlineStr">
        <is>
          <t xml:space="preserve">29 × 36 × 2</t>
        </is>
      </c>
      <c r="O918" t="inlineStr">
        <is>
          <t xml:space="preserve">0,25</t>
        </is>
      </c>
      <c r="P918" t="inlineStr">
        <is>
          <t xml:space="preserve">4816148106322</t>
        </is>
      </c>
      <c r="Q918" s="3" t="str">
        <f>HYPERLINK("https://modify.by/img/239188078/1.webp","фото")</f>
        <v>фото</v>
      </c>
      <c r="R918" s="3" t="str">
        <f>HYPERLINK("https://modify.by/catalog/rubashki/239188078/?utm_source=price&amp;utm_medium=xlsx","открыть")</f>
        <v>открыть</v>
      </c>
    </row>
    <row r="919">
      <c r="A919" t="inlineStr">
        <is>
          <t xml:space="preserve">Мужской</t>
        </is>
      </c>
      <c r="B919" t="inlineStr">
        <is>
          <t xml:space="preserve">Рубашки</t>
        </is>
      </c>
      <c r="C919" t="inlineStr">
        <is>
          <t xml:space="preserve">Рубашка с коротким рукавом хлопок, белый</t>
        </is>
      </c>
      <c r="D919" t="inlineStr">
        <is>
          <t xml:space="preserve">SH42M02белый</t>
        </is>
      </c>
      <c r="E919" t="inlineStr">
        <is>
          <t xml:space="preserve">белый</t>
        </is>
      </c>
      <c r="F919" t="inlineStr">
        <is>
          <t xml:space="preserve">54</t>
        </is>
      </c>
      <c r="G919">
        <v>2</v>
      </c>
      <c r="H919" s="2">
        <v>33.0</v>
      </c>
      <c r="I919" t="inlineStr">
        <is>
          <t xml:space="preserve">хлопок</t>
        </is>
      </c>
      <c r="J919"/>
      <c r="K919" t="inlineStr">
        <is>
          <t xml:space="preserve">Бангладеш</t>
        </is>
      </c>
      <c r="L919" t="inlineStr">
        <is>
          <t xml:space="preserve">6205200000</t>
        </is>
      </c>
      <c r="M919" t="inlineStr">
        <is>
          <t xml:space="preserve">Декларация № ЕАЭС № BY/112 11.01. ТР017 122.01 08246, до 19.04.2028</t>
        </is>
      </c>
      <c r="N919" t="inlineStr">
        <is>
          <t xml:space="preserve">29 × 36 × 2</t>
        </is>
      </c>
      <c r="O919" t="inlineStr">
        <is>
          <t xml:space="preserve">0,25</t>
        </is>
      </c>
      <c r="P919" t="inlineStr">
        <is>
          <t xml:space="preserve">4816148106339</t>
        </is>
      </c>
      <c r="Q919" s="3" t="str">
        <f>HYPERLINK("https://modify.by/img/239188078/1.webp","фото")</f>
        <v>фото</v>
      </c>
      <c r="R919" s="3" t="str">
        <f>HYPERLINK("https://modify.by/catalog/rubashki/239188078/?utm_source=price&amp;utm_medium=xlsx","открыть")</f>
        <v>открыть</v>
      </c>
    </row>
    <row r="920">
      <c r="A920" t="inlineStr">
        <is>
          <t xml:space="preserve">Мужской</t>
        </is>
      </c>
      <c r="B920" t="inlineStr">
        <is>
          <t xml:space="preserve">Рубашки</t>
        </is>
      </c>
      <c r="C920" t="inlineStr">
        <is>
          <t xml:space="preserve">Рубашка с коротким рукавом хлопок, молочный</t>
        </is>
      </c>
      <c r="D920" t="inlineStr">
        <is>
          <t xml:space="preserve">SH62M02_молочный,голубой</t>
        </is>
      </c>
      <c r="E920" t="inlineStr">
        <is>
          <t xml:space="preserve">молочный, голубой</t>
        </is>
      </c>
      <c r="F920" t="inlineStr">
        <is>
          <t xml:space="preserve">44-46</t>
        </is>
      </c>
      <c r="G920">
        <v>17</v>
      </c>
      <c r="H920" s="2">
        <v>29.0</v>
      </c>
      <c r="I920" t="inlineStr">
        <is>
          <t xml:space="preserve">35% хлопок, 65% полиэфирное волокно</t>
        </is>
      </c>
      <c r="J920"/>
      <c r="K920" t="inlineStr">
        <is>
          <t xml:space="preserve">Бангладеш</t>
        </is>
      </c>
      <c r="L920" t="inlineStr">
        <is>
          <t xml:space="preserve">6205200000</t>
        </is>
      </c>
      <c r="M920" t="inlineStr">
        <is>
          <t xml:space="preserve">Декларация № ЕАЭС № BY/112 11.01. ТР017 122.01 08246, до 19.04.2028</t>
        </is>
      </c>
      <c r="N920" t="inlineStr">
        <is>
          <t xml:space="preserve">30 × 20 × 3</t>
        </is>
      </c>
      <c r="O920" t="inlineStr">
        <is>
          <t xml:space="preserve">0,2</t>
        </is>
      </c>
      <c r="P920" t="inlineStr">
        <is>
          <t xml:space="preserve">4816148185532</t>
        </is>
      </c>
      <c r="Q920" s="3" t="str">
        <f>HYPERLINK("https://modify.by/img/1445899086/1.webp","фото")</f>
        <v>фото</v>
      </c>
      <c r="R920" s="3" t="str">
        <f>HYPERLINK("https://modify.by/catalog/rubashki/1445899086/?utm_source=price&amp;utm_medium=xlsx","открыть")</f>
        <v>открыть</v>
      </c>
    </row>
    <row r="921">
      <c r="A921" t="inlineStr">
        <is>
          <t xml:space="preserve">Мужской</t>
        </is>
      </c>
      <c r="B921" t="inlineStr">
        <is>
          <t xml:space="preserve">Рубашки</t>
        </is>
      </c>
      <c r="C921" t="inlineStr">
        <is>
          <t xml:space="preserve">Рубашка с коротким рукавом хлопок, молочный</t>
        </is>
      </c>
      <c r="D921" t="inlineStr">
        <is>
          <t xml:space="preserve">SH62M02_молочный,голубой</t>
        </is>
      </c>
      <c r="E921" t="inlineStr">
        <is>
          <t xml:space="preserve">молочный, голубой</t>
        </is>
      </c>
      <c r="F921" t="inlineStr">
        <is>
          <t xml:space="preserve">46-48</t>
        </is>
      </c>
      <c r="G921">
        <v>36</v>
      </c>
      <c r="H921" s="2">
        <v>29.0</v>
      </c>
      <c r="I921" t="inlineStr">
        <is>
          <t xml:space="preserve">35% хлопок, 65% полиэфирное волокно</t>
        </is>
      </c>
      <c r="J921"/>
      <c r="K921" t="inlineStr">
        <is>
          <t xml:space="preserve">Бангладеш</t>
        </is>
      </c>
      <c r="L921" t="inlineStr">
        <is>
          <t xml:space="preserve">6205200000</t>
        </is>
      </c>
      <c r="M921" t="inlineStr">
        <is>
          <t xml:space="preserve">Декларация № ЕАЭС № BY/112 11.01. ТР017 122.01 08246, до 19.04.2028</t>
        </is>
      </c>
      <c r="N921" t="inlineStr">
        <is>
          <t xml:space="preserve">30 × 20 × 3</t>
        </is>
      </c>
      <c r="O921" t="inlineStr">
        <is>
          <t xml:space="preserve">0,2</t>
        </is>
      </c>
      <c r="P921" t="inlineStr">
        <is>
          <t xml:space="preserve">4816148185549</t>
        </is>
      </c>
      <c r="Q921" s="3" t="str">
        <f>HYPERLINK("https://modify.by/img/1445899086/1.webp","фото")</f>
        <v>фото</v>
      </c>
      <c r="R921" s="3" t="str">
        <f>HYPERLINK("https://modify.by/catalog/rubashki/1445899086/?utm_source=price&amp;utm_medium=xlsx","открыть")</f>
        <v>открыть</v>
      </c>
    </row>
    <row r="922">
      <c r="A922" t="inlineStr">
        <is>
          <t xml:space="preserve">Мужской</t>
        </is>
      </c>
      <c r="B922" t="inlineStr">
        <is>
          <t xml:space="preserve">Рубашки</t>
        </is>
      </c>
      <c r="C922" t="inlineStr">
        <is>
          <t xml:space="preserve">Рубашка с коротким рукавом хлопок, молочный</t>
        </is>
      </c>
      <c r="D922" t="inlineStr">
        <is>
          <t xml:space="preserve">SH62M02_молочный,голубой</t>
        </is>
      </c>
      <c r="E922" t="inlineStr">
        <is>
          <t xml:space="preserve">молочный, голубой</t>
        </is>
      </c>
      <c r="F922" t="inlineStr">
        <is>
          <t xml:space="preserve">48-50</t>
        </is>
      </c>
      <c r="G922">
        <v>33</v>
      </c>
      <c r="H922" s="2">
        <v>29.0</v>
      </c>
      <c r="I922" t="inlineStr">
        <is>
          <t xml:space="preserve">35% хлопок, 65% полиэфирное волокно</t>
        </is>
      </c>
      <c r="J922"/>
      <c r="K922" t="inlineStr">
        <is>
          <t xml:space="preserve">Бангладеш</t>
        </is>
      </c>
      <c r="L922" t="inlineStr">
        <is>
          <t xml:space="preserve">6205200000</t>
        </is>
      </c>
      <c r="M922" t="inlineStr">
        <is>
          <t xml:space="preserve">Декларация № ЕАЭС № BY/112 11.01. ТР017 122.01 08246, до 19.04.2028</t>
        </is>
      </c>
      <c r="N922" t="inlineStr">
        <is>
          <t xml:space="preserve">30 × 20 × 3</t>
        </is>
      </c>
      <c r="O922" t="inlineStr">
        <is>
          <t xml:space="preserve">0,2</t>
        </is>
      </c>
      <c r="P922" t="inlineStr">
        <is>
          <t xml:space="preserve">4816148185556</t>
        </is>
      </c>
      <c r="Q922" s="3" t="str">
        <f>HYPERLINK("https://modify.by/img/1445899086/1.webp","фото")</f>
        <v>фото</v>
      </c>
      <c r="R922" s="3" t="str">
        <f>HYPERLINK("https://modify.by/catalog/rubashki/1445899086/?utm_source=price&amp;utm_medium=xlsx","открыть")</f>
        <v>открыть</v>
      </c>
    </row>
    <row r="923">
      <c r="A923" t="inlineStr">
        <is>
          <t xml:space="preserve">Мужской</t>
        </is>
      </c>
      <c r="B923" t="inlineStr">
        <is>
          <t xml:space="preserve">Рубашки</t>
        </is>
      </c>
      <c r="C923" t="inlineStr">
        <is>
          <t xml:space="preserve">Рубашка с коротким рукавом хлопок, молочный</t>
        </is>
      </c>
      <c r="D923" t="inlineStr">
        <is>
          <t xml:space="preserve">SH62M02_молочный,голубой</t>
        </is>
      </c>
      <c r="E923" t="inlineStr">
        <is>
          <t xml:space="preserve">молочный, голубой</t>
        </is>
      </c>
      <c r="F923" t="inlineStr">
        <is>
          <t xml:space="preserve">50-52</t>
        </is>
      </c>
      <c r="G923">
        <v>14</v>
      </c>
      <c r="H923" s="2">
        <v>29.0</v>
      </c>
      <c r="I923" t="inlineStr">
        <is>
          <t xml:space="preserve">35% хлопок, 65% полиэфирное волокно</t>
        </is>
      </c>
      <c r="J923"/>
      <c r="K923" t="inlineStr">
        <is>
          <t xml:space="preserve">Бангладеш</t>
        </is>
      </c>
      <c r="L923" t="inlineStr">
        <is>
          <t xml:space="preserve">6205200000</t>
        </is>
      </c>
      <c r="M923" t="inlineStr">
        <is>
          <t xml:space="preserve">Декларация № ЕАЭС № BY/112 11.01. ТР017 122.01 08246, до 19.04.2028</t>
        </is>
      </c>
      <c r="N923" t="inlineStr">
        <is>
          <t xml:space="preserve">30 × 20 × 3</t>
        </is>
      </c>
      <c r="O923" t="inlineStr">
        <is>
          <t xml:space="preserve">0,2</t>
        </is>
      </c>
      <c r="P923" t="inlineStr">
        <is>
          <t xml:space="preserve">4816148185563</t>
        </is>
      </c>
      <c r="Q923" s="3" t="str">
        <f>HYPERLINK("https://modify.by/img/1445899086/1.webp","фото")</f>
        <v>фото</v>
      </c>
      <c r="R923" s="3" t="str">
        <f>HYPERLINK("https://modify.by/catalog/rubashki/1445899086/?utm_source=price&amp;utm_medium=xlsx","открыть")</f>
        <v>открыть</v>
      </c>
    </row>
    <row r="924">
      <c r="A924" t="inlineStr">
        <is>
          <t xml:space="preserve">Мужской</t>
        </is>
      </c>
      <c r="B924" t="inlineStr">
        <is>
          <t xml:space="preserve">Рубашки</t>
        </is>
      </c>
      <c r="C924" t="inlineStr">
        <is>
          <t xml:space="preserve">Рубашка с коротким рукавом хлопок, молочный</t>
        </is>
      </c>
      <c r="D924" t="inlineStr">
        <is>
          <t xml:space="preserve">SH62M02_молочный,голубой</t>
        </is>
      </c>
      <c r="E924" t="inlineStr">
        <is>
          <t xml:space="preserve">молочный, голубой</t>
        </is>
      </c>
      <c r="F924" t="inlineStr">
        <is>
          <t xml:space="preserve">52-54</t>
        </is>
      </c>
      <c r="G924">
        <v>40</v>
      </c>
      <c r="H924" s="2">
        <v>29.0</v>
      </c>
      <c r="I924" t="inlineStr">
        <is>
          <t xml:space="preserve">35% хлопок, 65% полиэфирное волокно</t>
        </is>
      </c>
      <c r="J924"/>
      <c r="K924" t="inlineStr">
        <is>
          <t xml:space="preserve">Бангладеш</t>
        </is>
      </c>
      <c r="L924" t="inlineStr">
        <is>
          <t xml:space="preserve">6205200000</t>
        </is>
      </c>
      <c r="M924" t="inlineStr">
        <is>
          <t xml:space="preserve">Декларация № ЕАЭС № BY/112 11.01. ТР017 122.01 08246, до 19.04.2028</t>
        </is>
      </c>
      <c r="N924" t="inlineStr">
        <is>
          <t xml:space="preserve">30 × 20 × 3</t>
        </is>
      </c>
      <c r="O924" t="inlineStr">
        <is>
          <t xml:space="preserve">0,2</t>
        </is>
      </c>
      <c r="P924" t="inlineStr">
        <is>
          <t xml:space="preserve">4816148185570</t>
        </is>
      </c>
      <c r="Q924" s="3" t="str">
        <f>HYPERLINK("https://modify.by/img/1445899086/1.webp","фото")</f>
        <v>фото</v>
      </c>
      <c r="R924" s="3" t="str">
        <f>HYPERLINK("https://modify.by/catalog/rubashki/1445899086/?utm_source=price&amp;utm_medium=xlsx","открыть")</f>
        <v>открыть</v>
      </c>
    </row>
    <row r="925">
      <c r="A925" t="inlineStr">
        <is>
          <t xml:space="preserve">Мужской</t>
        </is>
      </c>
      <c r="B925" t="inlineStr">
        <is>
          <t xml:space="preserve">Рубашки</t>
        </is>
      </c>
      <c r="C925" t="inlineStr">
        <is>
          <t xml:space="preserve">Рубашка с коротким рукавом хлопок, молочный</t>
        </is>
      </c>
      <c r="D925" t="inlineStr">
        <is>
          <t xml:space="preserve">SH62M02_молочный,голубой</t>
        </is>
      </c>
      <c r="E925" t="inlineStr">
        <is>
          <t xml:space="preserve">молочный, голубой</t>
        </is>
      </c>
      <c r="F925" t="inlineStr">
        <is>
          <t xml:space="preserve">56-58</t>
        </is>
      </c>
      <c r="G925">
        <v>18</v>
      </c>
      <c r="H925" s="2">
        <v>29.0</v>
      </c>
      <c r="I925" t="inlineStr">
        <is>
          <t xml:space="preserve">35% хлопок, 65% полиэфирное волокно</t>
        </is>
      </c>
      <c r="J925"/>
      <c r="K925" t="inlineStr">
        <is>
          <t xml:space="preserve">Бангладеш</t>
        </is>
      </c>
      <c r="L925" t="inlineStr">
        <is>
          <t xml:space="preserve">6205200000</t>
        </is>
      </c>
      <c r="M925" t="inlineStr">
        <is>
          <t xml:space="preserve">Декларация № ЕАЭС № BY/112 11.01. ТР017 122.01 08246, до 19.04.2028</t>
        </is>
      </c>
      <c r="N925" t="inlineStr">
        <is>
          <t xml:space="preserve">30 × 20 × 3</t>
        </is>
      </c>
      <c r="O925" t="inlineStr">
        <is>
          <t xml:space="preserve">0,2</t>
        </is>
      </c>
      <c r="P925" t="inlineStr">
        <is>
          <t xml:space="preserve">4816148185587</t>
        </is>
      </c>
      <c r="Q925" s="3" t="str">
        <f>HYPERLINK("https://modify.by/img/1445899086/1.webp","фото")</f>
        <v>фото</v>
      </c>
      <c r="R925" s="3" t="str">
        <f>HYPERLINK("https://modify.by/catalog/rubashki/1445899086/?utm_source=price&amp;utm_medium=xlsx","открыть")</f>
        <v>открыть</v>
      </c>
    </row>
    <row r="926">
      <c r="A926" t="inlineStr">
        <is>
          <t xml:space="preserve">Мужской</t>
        </is>
      </c>
      <c r="B926" t="inlineStr">
        <is>
          <t xml:space="preserve">Рубашки</t>
        </is>
      </c>
      <c r="C926" t="inlineStr">
        <is>
          <t xml:space="preserve">Рубашка с коротким рукавом хлопок, темно-синий</t>
        </is>
      </c>
      <c r="D926" t="inlineStr">
        <is>
          <t xml:space="preserve">SH42M02темно-синий</t>
        </is>
      </c>
      <c r="E926" t="inlineStr">
        <is>
          <t xml:space="preserve">темно-синий</t>
        </is>
      </c>
      <c r="F926" t="inlineStr">
        <is>
          <t xml:space="preserve">48</t>
        </is>
      </c>
      <c r="G926">
        <v>9</v>
      </c>
      <c r="H926" s="2">
        <v>33.0</v>
      </c>
      <c r="I926" t="inlineStr">
        <is>
          <t xml:space="preserve">хлопок</t>
        </is>
      </c>
      <c r="J926"/>
      <c r="K926" t="inlineStr">
        <is>
          <t xml:space="preserve">Бангладеш</t>
        </is>
      </c>
      <c r="L926" t="inlineStr">
        <is>
          <t xml:space="preserve">6205200000</t>
        </is>
      </c>
      <c r="M926" t="inlineStr">
        <is>
          <t xml:space="preserve">Декларация № ЕАЭС № BY/112 11.01. ТР017 122.01 08246, до 19.04.2028</t>
        </is>
      </c>
      <c r="N926" t="inlineStr">
        <is>
          <t xml:space="preserve">37 × 30 × 2</t>
        </is>
      </c>
      <c r="O926" t="inlineStr">
        <is>
          <t xml:space="preserve">0,25</t>
        </is>
      </c>
      <c r="P926" t="inlineStr">
        <is>
          <t xml:space="preserve">4816148106353</t>
        </is>
      </c>
      <c r="Q926" s="3" t="str">
        <f>HYPERLINK("https://modify.by/img/239188079/1.webp","фото")</f>
        <v>фото</v>
      </c>
      <c r="R926" s="3" t="str">
        <f>HYPERLINK("https://modify.by/catalog/rubashki/239188079/?utm_source=price&amp;utm_medium=xlsx","открыть")</f>
        <v>открыть</v>
      </c>
    </row>
    <row r="927">
      <c r="A927" t="inlineStr">
        <is>
          <t xml:space="preserve">Мужской</t>
        </is>
      </c>
      <c r="B927" t="inlineStr">
        <is>
          <t xml:space="preserve">Рубашки</t>
        </is>
      </c>
      <c r="C927" t="inlineStr">
        <is>
          <t xml:space="preserve">Рубашка с коротким рукавом хлопок, темно-синий</t>
        </is>
      </c>
      <c r="D927" t="inlineStr">
        <is>
          <t xml:space="preserve">SH42M02темно-синий</t>
        </is>
      </c>
      <c r="E927" t="inlineStr">
        <is>
          <t xml:space="preserve">темно-синий</t>
        </is>
      </c>
      <c r="F927" t="inlineStr">
        <is>
          <t xml:space="preserve">50</t>
        </is>
      </c>
      <c r="G927">
        <v>6</v>
      </c>
      <c r="H927" s="2">
        <v>33.0</v>
      </c>
      <c r="I927" t="inlineStr">
        <is>
          <t xml:space="preserve">хлопок</t>
        </is>
      </c>
      <c r="J927"/>
      <c r="K927" t="inlineStr">
        <is>
          <t xml:space="preserve">Бангладеш</t>
        </is>
      </c>
      <c r="L927" t="inlineStr">
        <is>
          <t xml:space="preserve">6205200000</t>
        </is>
      </c>
      <c r="M927" t="inlineStr">
        <is>
          <t xml:space="preserve">Декларация № ЕАЭС № BY/112 11.01. ТР017 122.01 08246, до 19.04.2028</t>
        </is>
      </c>
      <c r="N927" t="inlineStr">
        <is>
          <t xml:space="preserve">37 × 30 × 2</t>
        </is>
      </c>
      <c r="O927" t="inlineStr">
        <is>
          <t xml:space="preserve">0,25</t>
        </is>
      </c>
      <c r="P927" t="inlineStr">
        <is>
          <t xml:space="preserve">4816148106360</t>
        </is>
      </c>
      <c r="Q927" s="3" t="str">
        <f>HYPERLINK("https://modify.by/img/239188079/1.webp","фото")</f>
        <v>фото</v>
      </c>
      <c r="R927" s="3" t="str">
        <f>HYPERLINK("https://modify.by/catalog/rubashki/239188079/?utm_source=price&amp;utm_medium=xlsx","открыть")</f>
        <v>открыть</v>
      </c>
    </row>
    <row r="928">
      <c r="A928" t="inlineStr">
        <is>
          <t xml:space="preserve">Мужской</t>
        </is>
      </c>
      <c r="B928" t="inlineStr">
        <is>
          <t xml:space="preserve">Рубашки</t>
        </is>
      </c>
      <c r="C928" t="inlineStr">
        <is>
          <t xml:space="preserve">Рубашка с коротким рукавом хлопок, темно-синий</t>
        </is>
      </c>
      <c r="D928" t="inlineStr">
        <is>
          <t xml:space="preserve">SH42M02темно-синий</t>
        </is>
      </c>
      <c r="E928" t="inlineStr">
        <is>
          <t xml:space="preserve">темно-синий</t>
        </is>
      </c>
      <c r="F928" t="inlineStr">
        <is>
          <t xml:space="preserve">52</t>
        </is>
      </c>
      <c r="G928">
        <v>5</v>
      </c>
      <c r="H928" s="2">
        <v>33.0</v>
      </c>
      <c r="I928" t="inlineStr">
        <is>
          <t xml:space="preserve">хлопок</t>
        </is>
      </c>
      <c r="J928"/>
      <c r="K928" t="inlineStr">
        <is>
          <t xml:space="preserve">Бангладеш</t>
        </is>
      </c>
      <c r="L928" t="inlineStr">
        <is>
          <t xml:space="preserve">6205200000</t>
        </is>
      </c>
      <c r="M928" t="inlineStr">
        <is>
          <t xml:space="preserve">Декларация № ЕАЭС № BY/112 11.01. ТР017 122.01 08246, до 19.04.2028</t>
        </is>
      </c>
      <c r="N928" t="inlineStr">
        <is>
          <t xml:space="preserve">37 × 30 × 2</t>
        </is>
      </c>
      <c r="O928" t="inlineStr">
        <is>
          <t xml:space="preserve">0,25</t>
        </is>
      </c>
      <c r="P928" t="inlineStr">
        <is>
          <t xml:space="preserve">4816148106377</t>
        </is>
      </c>
      <c r="Q928" s="3" t="str">
        <f>HYPERLINK("https://modify.by/img/239188079/1.webp","фото")</f>
        <v>фото</v>
      </c>
      <c r="R928" s="3" t="str">
        <f>HYPERLINK("https://modify.by/catalog/rubashki/239188079/?utm_source=price&amp;utm_medium=xlsx","открыть")</f>
        <v>открыть</v>
      </c>
    </row>
    <row r="929">
      <c r="A929" t="inlineStr">
        <is>
          <t xml:space="preserve">Мужской</t>
        </is>
      </c>
      <c r="B929" t="inlineStr">
        <is>
          <t xml:space="preserve">Рубашки</t>
        </is>
      </c>
      <c r="C929" t="inlineStr">
        <is>
          <t xml:space="preserve">Рубашка с коротким рукавом хлопок, темно-синий</t>
        </is>
      </c>
      <c r="D929" t="inlineStr">
        <is>
          <t xml:space="preserve">SH42M02темно-синий</t>
        </is>
      </c>
      <c r="E929" t="inlineStr">
        <is>
          <t xml:space="preserve">темно-синий</t>
        </is>
      </c>
      <c r="F929" t="inlineStr">
        <is>
          <t xml:space="preserve">54</t>
        </is>
      </c>
      <c r="G929">
        <v>15</v>
      </c>
      <c r="H929" s="2">
        <v>33.0</v>
      </c>
      <c r="I929" t="inlineStr">
        <is>
          <t xml:space="preserve">хлопок</t>
        </is>
      </c>
      <c r="J929"/>
      <c r="K929" t="inlineStr">
        <is>
          <t xml:space="preserve">Бангладеш</t>
        </is>
      </c>
      <c r="L929" t="inlineStr">
        <is>
          <t xml:space="preserve">6205200000</t>
        </is>
      </c>
      <c r="M929" t="inlineStr">
        <is>
          <t xml:space="preserve">Декларация № ЕАЭС № BY/112 11.01. ТР017 122.01 08246, до 19.04.2028</t>
        </is>
      </c>
      <c r="N929" t="inlineStr">
        <is>
          <t xml:space="preserve">37 × 30 × 2</t>
        </is>
      </c>
      <c r="O929" t="inlineStr">
        <is>
          <t xml:space="preserve">0,25</t>
        </is>
      </c>
      <c r="P929" t="inlineStr">
        <is>
          <t xml:space="preserve">4816148106384</t>
        </is>
      </c>
      <c r="Q929" s="3" t="str">
        <f>HYPERLINK("https://modify.by/img/239188079/1.webp","фото")</f>
        <v>фото</v>
      </c>
      <c r="R929" s="3" t="str">
        <f>HYPERLINK("https://modify.by/catalog/rubashki/239188079/?utm_source=price&amp;utm_medium=xlsx","открыть")</f>
        <v>открыть</v>
      </c>
    </row>
    <row r="930">
      <c r="A930" t="inlineStr">
        <is>
          <t xml:space="preserve">Мужской</t>
        </is>
      </c>
      <c r="B930" t="inlineStr">
        <is>
          <t xml:space="preserve">Рубашки</t>
        </is>
      </c>
      <c r="C930" t="inlineStr">
        <is>
          <t xml:space="preserve">Рубашка свободный крой с длинными рукавами большие размеры, серо-голубой</t>
        </is>
      </c>
      <c r="D930" t="inlineStr">
        <is>
          <t xml:space="preserve">SH62M03_серо-голубой</t>
        </is>
      </c>
      <c r="E930" t="inlineStr">
        <is>
          <t xml:space="preserve">серо-голубой, серый деним</t>
        </is>
      </c>
      <c r="F930" t="inlineStr">
        <is>
          <t xml:space="preserve">46</t>
        </is>
      </c>
      <c r="G930">
        <v>15</v>
      </c>
      <c r="H930" s="2">
        <v>39.0</v>
      </c>
      <c r="I930" t="inlineStr">
        <is>
          <t xml:space="preserve">65% лиоцелл (вискоза), 36% хлопок</t>
        </is>
      </c>
      <c r="J930"/>
      <c r="K930" t="inlineStr">
        <is>
          <t xml:space="preserve">Бангладеш</t>
        </is>
      </c>
      <c r="L930" t="inlineStr">
        <is>
          <t xml:space="preserve">6205300000</t>
        </is>
      </c>
      <c r="M930" t="inlineStr">
        <is>
          <t xml:space="preserve">Декларация № ЕАЭС № BY/112 11.01. ТР017 122.01 08246, до 19.04.2028</t>
        </is>
      </c>
      <c r="N930" t="inlineStr">
        <is>
          <t xml:space="preserve">21 × 15 × 8</t>
        </is>
      </c>
      <c r="O930" t="inlineStr">
        <is>
          <t xml:space="preserve">0,37</t>
        </is>
      </c>
      <c r="P930" t="inlineStr">
        <is>
          <t xml:space="preserve">4816148185372</t>
        </is>
      </c>
      <c r="Q930" s="3" t="str">
        <f>HYPERLINK("https://modify.by/img/1416274913/1.webp","фото")</f>
        <v>фото</v>
      </c>
      <c r="R930" s="3" t="str">
        <f>HYPERLINK("https://modify.by/catalog/rubashki/1416274913/?utm_source=price&amp;utm_medium=xlsx","открыть")</f>
        <v>открыть</v>
      </c>
    </row>
    <row r="931">
      <c r="A931" t="inlineStr">
        <is>
          <t xml:space="preserve">Мужской</t>
        </is>
      </c>
      <c r="B931" t="inlineStr">
        <is>
          <t xml:space="preserve">Рубашки</t>
        </is>
      </c>
      <c r="C931" t="inlineStr">
        <is>
          <t xml:space="preserve">Рубашка свободный крой с длинными рукавами большие размеры, серо-голубой</t>
        </is>
      </c>
      <c r="D931" t="inlineStr">
        <is>
          <t xml:space="preserve">SH62M03_серо-голубой</t>
        </is>
      </c>
      <c r="E931" t="inlineStr">
        <is>
          <t xml:space="preserve">серо-голубой, серый деним</t>
        </is>
      </c>
      <c r="F931" t="inlineStr">
        <is>
          <t xml:space="preserve">48-50</t>
        </is>
      </c>
      <c r="G931">
        <v>11</v>
      </c>
      <c r="H931" s="2">
        <v>39.0</v>
      </c>
      <c r="I931" t="inlineStr">
        <is>
          <t xml:space="preserve">65% лиоцелл (вискоза), 36% хлопок</t>
        </is>
      </c>
      <c r="J931"/>
      <c r="K931" t="inlineStr">
        <is>
          <t xml:space="preserve">Бангладеш</t>
        </is>
      </c>
      <c r="L931" t="inlineStr">
        <is>
          <t xml:space="preserve">6205300000</t>
        </is>
      </c>
      <c r="M931" t="inlineStr">
        <is>
          <t xml:space="preserve">Декларация № ЕАЭС № BY/112 11.01. ТР017 122.01 08246, до 19.04.2028</t>
        </is>
      </c>
      <c r="N931" t="inlineStr">
        <is>
          <t xml:space="preserve">21 × 15 × 8</t>
        </is>
      </c>
      <c r="O931" t="inlineStr">
        <is>
          <t xml:space="preserve">0,37</t>
        </is>
      </c>
      <c r="P931" t="inlineStr">
        <is>
          <t xml:space="preserve">4816148185389</t>
        </is>
      </c>
      <c r="Q931" s="3" t="str">
        <f>HYPERLINK("https://modify.by/img/1416274913/1.webp","фото")</f>
        <v>фото</v>
      </c>
      <c r="R931" s="3" t="str">
        <f>HYPERLINK("https://modify.by/catalog/rubashki/1416274913/?utm_source=price&amp;utm_medium=xlsx","открыть")</f>
        <v>открыть</v>
      </c>
    </row>
    <row r="932">
      <c r="A932" t="inlineStr">
        <is>
          <t xml:space="preserve">Мужской</t>
        </is>
      </c>
      <c r="B932" t="inlineStr">
        <is>
          <t xml:space="preserve">Рубашки</t>
        </is>
      </c>
      <c r="C932" t="inlineStr">
        <is>
          <t xml:space="preserve">Рубашка свободный крой с длинными рукавами большие размеры, серо-голубой</t>
        </is>
      </c>
      <c r="D932" t="inlineStr">
        <is>
          <t xml:space="preserve">SH62M03_серо-голубой</t>
        </is>
      </c>
      <c r="E932" t="inlineStr">
        <is>
          <t xml:space="preserve">серо-голубой, серый деним</t>
        </is>
      </c>
      <c r="F932" t="inlineStr">
        <is>
          <t xml:space="preserve">50-52</t>
        </is>
      </c>
      <c r="G932">
        <v>24</v>
      </c>
      <c r="H932" s="2">
        <v>39.0</v>
      </c>
      <c r="I932" t="inlineStr">
        <is>
          <t xml:space="preserve">65% лиоцелл (вискоза), 36% хлопок</t>
        </is>
      </c>
      <c r="J932"/>
      <c r="K932" t="inlineStr">
        <is>
          <t xml:space="preserve">Бангладеш</t>
        </is>
      </c>
      <c r="L932" t="inlineStr">
        <is>
          <t xml:space="preserve">6205300000</t>
        </is>
      </c>
      <c r="M932" t="inlineStr">
        <is>
          <t xml:space="preserve">Декларация № ЕАЭС № BY/112 11.01. ТР017 122.01 08246, до 19.04.2028</t>
        </is>
      </c>
      <c r="N932" t="inlineStr">
        <is>
          <t xml:space="preserve">21 × 15 × 8</t>
        </is>
      </c>
      <c r="O932" t="inlineStr">
        <is>
          <t xml:space="preserve">0,37</t>
        </is>
      </c>
      <c r="P932" t="inlineStr">
        <is>
          <t xml:space="preserve">4816148185396</t>
        </is>
      </c>
      <c r="Q932" s="3" t="str">
        <f>HYPERLINK("https://modify.by/img/1416274913/1.webp","фото")</f>
        <v>фото</v>
      </c>
      <c r="R932" s="3" t="str">
        <f>HYPERLINK("https://modify.by/catalog/rubashki/1416274913/?utm_source=price&amp;utm_medium=xlsx","открыть")</f>
        <v>открыть</v>
      </c>
    </row>
    <row r="933">
      <c r="A933" t="inlineStr">
        <is>
          <t xml:space="preserve">Мужской</t>
        </is>
      </c>
      <c r="B933" t="inlineStr">
        <is>
          <t xml:space="preserve">Рубашки</t>
        </is>
      </c>
      <c r="C933" t="inlineStr">
        <is>
          <t xml:space="preserve">Рубашка свободный крой с длинными рукавами большие размеры, серо-голубой</t>
        </is>
      </c>
      <c r="D933" t="inlineStr">
        <is>
          <t xml:space="preserve">SH62M03_серо-голубой</t>
        </is>
      </c>
      <c r="E933" t="inlineStr">
        <is>
          <t xml:space="preserve">серо-голубой, серый деним</t>
        </is>
      </c>
      <c r="F933" t="inlineStr">
        <is>
          <t xml:space="preserve">52-54</t>
        </is>
      </c>
      <c r="G933">
        <v>13</v>
      </c>
      <c r="H933" s="2">
        <v>39.0</v>
      </c>
      <c r="I933" t="inlineStr">
        <is>
          <t xml:space="preserve">65% лиоцелл (вискоза), 36% хлопок</t>
        </is>
      </c>
      <c r="J933"/>
      <c r="K933" t="inlineStr">
        <is>
          <t xml:space="preserve">Бангладеш</t>
        </is>
      </c>
      <c r="L933" t="inlineStr">
        <is>
          <t xml:space="preserve">6205300000</t>
        </is>
      </c>
      <c r="M933" t="inlineStr">
        <is>
          <t xml:space="preserve">Декларация № ЕАЭС № BY/112 11.01. ТР017 122.01 08246, до 19.04.2028</t>
        </is>
      </c>
      <c r="N933" t="inlineStr">
        <is>
          <t xml:space="preserve">21 × 15 × 8</t>
        </is>
      </c>
      <c r="O933" t="inlineStr">
        <is>
          <t xml:space="preserve">0,37</t>
        </is>
      </c>
      <c r="P933" t="inlineStr">
        <is>
          <t xml:space="preserve">4816148185402</t>
        </is>
      </c>
      <c r="Q933" s="3" t="str">
        <f>HYPERLINK("https://modify.by/img/1416274913/1.webp","фото")</f>
        <v>фото</v>
      </c>
      <c r="R933" s="3" t="str">
        <f>HYPERLINK("https://modify.by/catalog/rubashki/1416274913/?utm_source=price&amp;utm_medium=xlsx","открыть")</f>
        <v>открыть</v>
      </c>
    </row>
    <row r="934">
      <c r="A934" t="inlineStr">
        <is>
          <t xml:space="preserve">Мужской</t>
        </is>
      </c>
      <c r="B934" t="inlineStr">
        <is>
          <t xml:space="preserve">Рубашки</t>
        </is>
      </c>
      <c r="C934" t="inlineStr">
        <is>
          <t xml:space="preserve">Рубашка свободный крой с длинными рукавами большие размеры, серо-голубой</t>
        </is>
      </c>
      <c r="D934" t="inlineStr">
        <is>
          <t xml:space="preserve">SH62M03_серо-голубой</t>
        </is>
      </c>
      <c r="E934" t="inlineStr">
        <is>
          <t xml:space="preserve">серо-голубой, серый деним</t>
        </is>
      </c>
      <c r="F934" t="inlineStr">
        <is>
          <t xml:space="preserve">56-58</t>
        </is>
      </c>
      <c r="G934">
        <v>40</v>
      </c>
      <c r="H934" s="2">
        <v>39.0</v>
      </c>
      <c r="I934" t="inlineStr">
        <is>
          <t xml:space="preserve">65% лиоцелл (вискоза), 36% хлопок</t>
        </is>
      </c>
      <c r="J934"/>
      <c r="K934" t="inlineStr">
        <is>
          <t xml:space="preserve">Бангладеш</t>
        </is>
      </c>
      <c r="L934" t="inlineStr">
        <is>
          <t xml:space="preserve">6205300000</t>
        </is>
      </c>
      <c r="M934" t="inlineStr">
        <is>
          <t xml:space="preserve">Декларация № ЕАЭС № BY/112 11.01. ТР017 122.01 08246, до 19.04.2028</t>
        </is>
      </c>
      <c r="N934" t="inlineStr">
        <is>
          <t xml:space="preserve">21 × 15 × 8</t>
        </is>
      </c>
      <c r="O934" t="inlineStr">
        <is>
          <t xml:space="preserve">0,37</t>
        </is>
      </c>
      <c r="P934" t="inlineStr">
        <is>
          <t xml:space="preserve">4816148185419</t>
        </is>
      </c>
      <c r="Q934" s="3" t="str">
        <f>HYPERLINK("https://modify.by/img/1416274913/1.webp","фото")</f>
        <v>фото</v>
      </c>
      <c r="R934" s="3" t="str">
        <f>HYPERLINK("https://modify.by/catalog/rubashki/1416274913/?utm_source=price&amp;utm_medium=xlsx","открыть")</f>
        <v>открыть</v>
      </c>
    </row>
    <row r="935">
      <c r="A935" t="inlineStr">
        <is>
          <t xml:space="preserve">Мужской</t>
        </is>
      </c>
      <c r="B935" t="inlineStr">
        <is>
          <t xml:space="preserve">Рубашки</t>
        </is>
      </c>
      <c r="C935" t="inlineStr">
        <is>
          <t xml:space="preserve">Рубашка свободный крой с длинными рукавами большие размеры, серо-голубой</t>
        </is>
      </c>
      <c r="D935" t="inlineStr">
        <is>
          <t xml:space="preserve">SH62M03_серо-голубой</t>
        </is>
      </c>
      <c r="E935" t="inlineStr">
        <is>
          <t xml:space="preserve">серо-голубой, серый деним</t>
        </is>
      </c>
      <c r="F935" t="inlineStr">
        <is>
          <t xml:space="preserve">60-62</t>
        </is>
      </c>
      <c r="G935">
        <v>26</v>
      </c>
      <c r="H935" s="2">
        <v>39.0</v>
      </c>
      <c r="I935" t="inlineStr">
        <is>
          <t xml:space="preserve">65% лиоцелл (вискоза), 36% хлопок</t>
        </is>
      </c>
      <c r="J935"/>
      <c r="K935" t="inlineStr">
        <is>
          <t xml:space="preserve">Бангладеш</t>
        </is>
      </c>
      <c r="L935" t="inlineStr">
        <is>
          <t xml:space="preserve">6205300000</t>
        </is>
      </c>
      <c r="M935" t="inlineStr">
        <is>
          <t xml:space="preserve">Декларация № ЕАЭС № BY/112 11.01. ТР017 122.01 08246, до 19.04.2028</t>
        </is>
      </c>
      <c r="N935" t="inlineStr">
        <is>
          <t xml:space="preserve">21 × 15 × 8</t>
        </is>
      </c>
      <c r="O935" t="inlineStr">
        <is>
          <t xml:space="preserve">0,37</t>
        </is>
      </c>
      <c r="P935" t="inlineStr">
        <is>
          <t xml:space="preserve">4816148185426</t>
        </is>
      </c>
      <c r="Q935" s="3" t="str">
        <f>HYPERLINK("https://modify.by/img/1416274913/1.webp","фото")</f>
        <v>фото</v>
      </c>
      <c r="R935" s="3" t="str">
        <f>HYPERLINK("https://modify.by/catalog/rubashki/1416274913/?utm_source=price&amp;utm_medium=xlsx","открыть")</f>
        <v>открыть</v>
      </c>
    </row>
    <row r="936">
      <c r="A936" t="inlineStr">
        <is>
          <t xml:space="preserve">Мужской</t>
        </is>
      </c>
      <c r="B936" t="inlineStr">
        <is>
          <t xml:space="preserve">Рубашки</t>
        </is>
      </c>
      <c r="C936" t="inlineStr">
        <is>
          <t xml:space="preserve">Рубашка свободный крой с длинными рукавами большие размеры, синий</t>
        </is>
      </c>
      <c r="D936" t="inlineStr">
        <is>
          <t xml:space="preserve">SH62M01_синий</t>
        </is>
      </c>
      <c r="E936" t="inlineStr">
        <is>
          <t xml:space="preserve">синий, деним</t>
        </is>
      </c>
      <c r="F936" t="inlineStr">
        <is>
          <t xml:space="preserve">44-46</t>
        </is>
      </c>
      <c r="G936">
        <v>21</v>
      </c>
      <c r="H936" s="2">
        <v>32.0</v>
      </c>
      <c r="I936" t="inlineStr">
        <is>
          <t xml:space="preserve">100% хлопок</t>
        </is>
      </c>
      <c r="J936"/>
      <c r="K936" t="inlineStr">
        <is>
          <t xml:space="preserve">Бангладеш</t>
        </is>
      </c>
      <c r="L936" t="inlineStr">
        <is>
          <t xml:space="preserve">6205300000</t>
        </is>
      </c>
      <c r="M936" t="inlineStr">
        <is>
          <t xml:space="preserve">Декларация № ЕАЭС № BY/112 11.01. ТР017 122.01 08246, до 19.04.2028</t>
        </is>
      </c>
      <c r="N936" t="inlineStr">
        <is>
          <t xml:space="preserve">30 × 20 × 5</t>
        </is>
      </c>
      <c r="O936" t="inlineStr">
        <is>
          <t xml:space="preserve">0,3</t>
        </is>
      </c>
      <c r="P936" t="inlineStr">
        <is>
          <t xml:space="preserve">4816148185495</t>
        </is>
      </c>
      <c r="Q936" s="3" t="str">
        <f>HYPERLINK("https://modify.by/img/1426585899/1.webp","фото")</f>
        <v>фото</v>
      </c>
      <c r="R936" s="3" t="str">
        <f>HYPERLINK("https://modify.by/catalog/rubashki/1426585899/?utm_source=price&amp;utm_medium=xlsx","открыть")</f>
        <v>открыть</v>
      </c>
    </row>
    <row r="937">
      <c r="A937" t="inlineStr">
        <is>
          <t xml:space="preserve">Мужской</t>
        </is>
      </c>
      <c r="B937" t="inlineStr">
        <is>
          <t xml:space="preserve">Рубашки</t>
        </is>
      </c>
      <c r="C937" t="inlineStr">
        <is>
          <t xml:space="preserve">Рубашка свободный крой с длинными рукавами большие размеры, синий</t>
        </is>
      </c>
      <c r="D937" t="inlineStr">
        <is>
          <t xml:space="preserve">SH62M01_синий</t>
        </is>
      </c>
      <c r="E937" t="inlineStr">
        <is>
          <t xml:space="preserve">синий, деним</t>
        </is>
      </c>
      <c r="F937" t="inlineStr">
        <is>
          <t xml:space="preserve">46-48</t>
        </is>
      </c>
      <c r="G937">
        <v>57</v>
      </c>
      <c r="H937" s="2">
        <v>32.0</v>
      </c>
      <c r="I937" t="inlineStr">
        <is>
          <t xml:space="preserve">100% хлопок</t>
        </is>
      </c>
      <c r="J937"/>
      <c r="K937" t="inlineStr">
        <is>
          <t xml:space="preserve">Бангладеш</t>
        </is>
      </c>
      <c r="L937" t="inlineStr">
        <is>
          <t xml:space="preserve">6205300000</t>
        </is>
      </c>
      <c r="M937" t="inlineStr">
        <is>
          <t xml:space="preserve">Декларация № ЕАЭС № BY/112 11.01. ТР017 122.01 08246, до 19.04.2028</t>
        </is>
      </c>
      <c r="N937" t="inlineStr">
        <is>
          <t xml:space="preserve">30 × 20 × 5</t>
        </is>
      </c>
      <c r="O937" t="inlineStr">
        <is>
          <t xml:space="preserve">0,3</t>
        </is>
      </c>
      <c r="P937" t="inlineStr">
        <is>
          <t xml:space="preserve">4816148185501</t>
        </is>
      </c>
      <c r="Q937" s="3" t="str">
        <f>HYPERLINK("https://modify.by/img/1426585899/1.webp","фото")</f>
        <v>фото</v>
      </c>
      <c r="R937" s="3" t="str">
        <f>HYPERLINK("https://modify.by/catalog/rubashki/1426585899/?utm_source=price&amp;utm_medium=xlsx","открыть")</f>
        <v>открыть</v>
      </c>
    </row>
    <row r="938">
      <c r="A938" t="inlineStr">
        <is>
          <t xml:space="preserve">Мужской</t>
        </is>
      </c>
      <c r="B938" t="inlineStr">
        <is>
          <t xml:space="preserve">Рубашки</t>
        </is>
      </c>
      <c r="C938" t="inlineStr">
        <is>
          <t xml:space="preserve">Рубашка свободный крой с длинными рукавами большие размеры, синий</t>
        </is>
      </c>
      <c r="D938" t="inlineStr">
        <is>
          <t xml:space="preserve">SH62M01_синий</t>
        </is>
      </c>
      <c r="E938" t="inlineStr">
        <is>
          <t xml:space="preserve">синий, деним</t>
        </is>
      </c>
      <c r="F938" t="inlineStr">
        <is>
          <t xml:space="preserve">50-52</t>
        </is>
      </c>
      <c r="G938">
        <v>50</v>
      </c>
      <c r="H938" s="2">
        <v>32.0</v>
      </c>
      <c r="I938" t="inlineStr">
        <is>
          <t xml:space="preserve">100% хлопок</t>
        </is>
      </c>
      <c r="J938"/>
      <c r="K938" t="inlineStr">
        <is>
          <t xml:space="preserve">Бангладеш</t>
        </is>
      </c>
      <c r="L938" t="inlineStr">
        <is>
          <t xml:space="preserve">6205300000</t>
        </is>
      </c>
      <c r="M938" t="inlineStr">
        <is>
          <t xml:space="preserve">Декларация № ЕАЭС № BY/112 11.01. ТР017 122.01 08246, до 19.04.2028</t>
        </is>
      </c>
      <c r="N938" t="inlineStr">
        <is>
          <t xml:space="preserve">30 × 20 × 5</t>
        </is>
      </c>
      <c r="O938" t="inlineStr">
        <is>
          <t xml:space="preserve">0,3</t>
        </is>
      </c>
      <c r="P938" t="inlineStr">
        <is>
          <t xml:space="preserve">4816148185518</t>
        </is>
      </c>
      <c r="Q938" s="3" t="str">
        <f>HYPERLINK("https://modify.by/img/1426585899/1.webp","фото")</f>
        <v>фото</v>
      </c>
      <c r="R938" s="3" t="str">
        <f>HYPERLINK("https://modify.by/catalog/rubashki/1426585899/?utm_source=price&amp;utm_medium=xlsx","открыть")</f>
        <v>открыть</v>
      </c>
    </row>
    <row r="939">
      <c r="A939" t="inlineStr">
        <is>
          <t xml:space="preserve">Мужской</t>
        </is>
      </c>
      <c r="B939" t="inlineStr">
        <is>
          <t xml:space="preserve">Рубашки</t>
        </is>
      </c>
      <c r="C939" t="inlineStr">
        <is>
          <t xml:space="preserve">Рубашка свободный крой с длинными рукавами большие размеры, синий</t>
        </is>
      </c>
      <c r="D939" t="inlineStr">
        <is>
          <t xml:space="preserve">SH62M01_синий</t>
        </is>
      </c>
      <c r="E939" t="inlineStr">
        <is>
          <t xml:space="preserve">синий, деним</t>
        </is>
      </c>
      <c r="F939" t="inlineStr">
        <is>
          <t xml:space="preserve">56-58</t>
        </is>
      </c>
      <c r="G939">
        <v>21</v>
      </c>
      <c r="H939" s="2">
        <v>32.0</v>
      </c>
      <c r="I939" t="inlineStr">
        <is>
          <t xml:space="preserve">100% хлопок</t>
        </is>
      </c>
      <c r="J939"/>
      <c r="K939" t="inlineStr">
        <is>
          <t xml:space="preserve">Бангладеш</t>
        </is>
      </c>
      <c r="L939" t="inlineStr">
        <is>
          <t xml:space="preserve">6205300000</t>
        </is>
      </c>
      <c r="M939" t="inlineStr">
        <is>
          <t xml:space="preserve">Декларация № ЕАЭС № BY/112 11.01. ТР017 122.01 08246, до 19.04.2028</t>
        </is>
      </c>
      <c r="N939" t="inlineStr">
        <is>
          <t xml:space="preserve">30 × 20 × 5</t>
        </is>
      </c>
      <c r="O939" t="inlineStr">
        <is>
          <t xml:space="preserve">0,3</t>
        </is>
      </c>
      <c r="P939" t="inlineStr">
        <is>
          <t xml:space="preserve">4816148185525</t>
        </is>
      </c>
      <c r="Q939" s="3" t="str">
        <f>HYPERLINK("https://modify.by/img/1426585899/1.webp","фото")</f>
        <v>фото</v>
      </c>
      <c r="R939" s="3" t="str">
        <f>HYPERLINK("https://modify.by/catalog/rubashki/1426585899/?utm_source=price&amp;utm_medium=xlsx","открыть")</f>
        <v>открыть</v>
      </c>
    </row>
    <row r="940">
      <c r="A940" t="inlineStr">
        <is>
          <t xml:space="preserve">Мужской</t>
        </is>
      </c>
      <c r="B940" t="inlineStr">
        <is>
          <t xml:space="preserve">Рубашки</t>
        </is>
      </c>
      <c r="C940" t="inlineStr">
        <is>
          <t xml:space="preserve">Рубашка хлопковая с коротким рукавом</t>
        </is>
      </c>
      <c r="D940" t="inlineStr">
        <is>
          <t xml:space="preserve">SH52M01Голубой</t>
        </is>
      </c>
      <c r="E940" t="inlineStr">
        <is>
          <t xml:space="preserve">голубой</t>
        </is>
      </c>
      <c r="F940" t="inlineStr">
        <is>
          <t xml:space="preserve">44</t>
        </is>
      </c>
      <c r="G940">
        <v>12</v>
      </c>
      <c r="H940" s="2">
        <v>31.0</v>
      </c>
      <c r="I940" t="inlineStr">
        <is>
          <t xml:space="preserve">50% хлопок, 50% лен</t>
        </is>
      </c>
      <c r="J940"/>
      <c r="K940" t="inlineStr">
        <is>
          <t xml:space="preserve">Бангладеш</t>
        </is>
      </c>
      <c r="L940" t="inlineStr">
        <is>
          <t xml:space="preserve">6205200000</t>
        </is>
      </c>
      <c r="M940" t="inlineStr">
        <is>
          <t xml:space="preserve">Декларация № ЕАЭС № BY/112 11.01. ТР017 122.01 08246, до 19.04.2028</t>
        </is>
      </c>
      <c r="N940" t="inlineStr">
        <is>
          <t xml:space="preserve">30 × 20 × 2</t>
        </is>
      </c>
      <c r="O940" t="inlineStr">
        <is>
          <t xml:space="preserve">0,2</t>
        </is>
      </c>
      <c r="P940" t="inlineStr">
        <is>
          <t xml:space="preserve">4816148165428</t>
        </is>
      </c>
      <c r="Q940" s="3" t="str">
        <f>HYPERLINK("https://modify.by/img/399302201/1.webp","фото")</f>
        <v>фото</v>
      </c>
      <c r="R940" s="3" t="str">
        <f>HYPERLINK("https://modify.by/catalog/rubashki/399302201/?utm_source=price&amp;utm_medium=xlsx","открыть")</f>
        <v>открыть</v>
      </c>
    </row>
    <row r="941">
      <c r="A941" t="inlineStr">
        <is>
          <t xml:space="preserve">Мужской</t>
        </is>
      </c>
      <c r="B941" t="inlineStr">
        <is>
          <t xml:space="preserve">Рубашки</t>
        </is>
      </c>
      <c r="C941" t="inlineStr">
        <is>
          <t xml:space="preserve">Рубашка хлопковая с коротким рукавом</t>
        </is>
      </c>
      <c r="D941" t="inlineStr">
        <is>
          <t xml:space="preserve">SH52M01Голубой</t>
        </is>
      </c>
      <c r="E941" t="inlineStr">
        <is>
          <t xml:space="preserve">голубой</t>
        </is>
      </c>
      <c r="F941" t="inlineStr">
        <is>
          <t xml:space="preserve">46</t>
        </is>
      </c>
      <c r="G941">
        <v>42</v>
      </c>
      <c r="H941" s="2">
        <v>31.0</v>
      </c>
      <c r="I941" t="inlineStr">
        <is>
          <t xml:space="preserve">50% хлопок, 50% лен</t>
        </is>
      </c>
      <c r="J941"/>
      <c r="K941" t="inlineStr">
        <is>
          <t xml:space="preserve">Бангладеш</t>
        </is>
      </c>
      <c r="L941" t="inlineStr">
        <is>
          <t xml:space="preserve">6205200000</t>
        </is>
      </c>
      <c r="M941" t="inlineStr">
        <is>
          <t xml:space="preserve">Декларация № ЕАЭС № BY/112 11.01. ТР017 122.01 08246, до 19.04.2028</t>
        </is>
      </c>
      <c r="N941" t="inlineStr">
        <is>
          <t xml:space="preserve">30 × 20 × 2</t>
        </is>
      </c>
      <c r="O941" t="inlineStr">
        <is>
          <t xml:space="preserve">0,2</t>
        </is>
      </c>
      <c r="P941" t="inlineStr">
        <is>
          <t xml:space="preserve">4816148165435</t>
        </is>
      </c>
      <c r="Q941" s="3" t="str">
        <f>HYPERLINK("https://modify.by/img/399302201/1.webp","фото")</f>
        <v>фото</v>
      </c>
      <c r="R941" s="3" t="str">
        <f>HYPERLINK("https://modify.by/catalog/rubashki/399302201/?utm_source=price&amp;utm_medium=xlsx","открыть")</f>
        <v>открыть</v>
      </c>
    </row>
    <row r="942">
      <c r="A942" t="inlineStr">
        <is>
          <t xml:space="preserve">Мужской</t>
        </is>
      </c>
      <c r="B942" t="inlineStr">
        <is>
          <t xml:space="preserve">Рубашки</t>
        </is>
      </c>
      <c r="C942" t="inlineStr">
        <is>
          <t xml:space="preserve">Рубашка хлопковая с коротким рукавом</t>
        </is>
      </c>
      <c r="D942" t="inlineStr">
        <is>
          <t xml:space="preserve">SH52M01Голубой</t>
        </is>
      </c>
      <c r="E942" t="inlineStr">
        <is>
          <t xml:space="preserve">голубой</t>
        </is>
      </c>
      <c r="F942" t="inlineStr">
        <is>
          <t xml:space="preserve">48</t>
        </is>
      </c>
      <c r="G942">
        <v>71</v>
      </c>
      <c r="H942" s="2">
        <v>31.0</v>
      </c>
      <c r="I942" t="inlineStr">
        <is>
          <t xml:space="preserve">50% хлопок, 50% лен</t>
        </is>
      </c>
      <c r="J942"/>
      <c r="K942" t="inlineStr">
        <is>
          <t xml:space="preserve">Бангладеш</t>
        </is>
      </c>
      <c r="L942" t="inlineStr">
        <is>
          <t xml:space="preserve">6205200000</t>
        </is>
      </c>
      <c r="M942" t="inlineStr">
        <is>
          <t xml:space="preserve">Декларация № ЕАЭС № BY/112 11.01. ТР017 122.01 08246, до 19.04.2028</t>
        </is>
      </c>
      <c r="N942" t="inlineStr">
        <is>
          <t xml:space="preserve">30 × 20 × 2</t>
        </is>
      </c>
      <c r="O942" t="inlineStr">
        <is>
          <t xml:space="preserve">0,2</t>
        </is>
      </c>
      <c r="P942" t="inlineStr">
        <is>
          <t xml:space="preserve">4816148165442</t>
        </is>
      </c>
      <c r="Q942" s="3" t="str">
        <f>HYPERLINK("https://modify.by/img/399302201/1.webp","фото")</f>
        <v>фото</v>
      </c>
      <c r="R942" s="3" t="str">
        <f>HYPERLINK("https://modify.by/catalog/rubashki/399302201/?utm_source=price&amp;utm_medium=xlsx","открыть")</f>
        <v>открыть</v>
      </c>
    </row>
    <row r="943">
      <c r="A943" t="inlineStr">
        <is>
          <t xml:space="preserve">Мужской</t>
        </is>
      </c>
      <c r="B943" t="inlineStr">
        <is>
          <t xml:space="preserve">Рубашки</t>
        </is>
      </c>
      <c r="C943" t="inlineStr">
        <is>
          <t xml:space="preserve">Рубашка хлопковая с коротким рукавом</t>
        </is>
      </c>
      <c r="D943" t="inlineStr">
        <is>
          <t xml:space="preserve">SH52M01Голубой</t>
        </is>
      </c>
      <c r="E943" t="inlineStr">
        <is>
          <t xml:space="preserve">голубой</t>
        </is>
      </c>
      <c r="F943" t="inlineStr">
        <is>
          <t xml:space="preserve">50</t>
        </is>
      </c>
      <c r="G943">
        <v>25</v>
      </c>
      <c r="H943" s="2">
        <v>31.0</v>
      </c>
      <c r="I943" t="inlineStr">
        <is>
          <t xml:space="preserve">50% хлопок, 50% лен</t>
        </is>
      </c>
      <c r="J943"/>
      <c r="K943" t="inlineStr">
        <is>
          <t xml:space="preserve">Бангладеш</t>
        </is>
      </c>
      <c r="L943" t="inlineStr">
        <is>
          <t xml:space="preserve">6205200000</t>
        </is>
      </c>
      <c r="M943" t="inlineStr">
        <is>
          <t xml:space="preserve">Декларация № ЕАЭС № BY/112 11.01. ТР017 122.01 08246, до 19.04.2028</t>
        </is>
      </c>
      <c r="N943" t="inlineStr">
        <is>
          <t xml:space="preserve">30 × 20 × 2</t>
        </is>
      </c>
      <c r="O943" t="inlineStr">
        <is>
          <t xml:space="preserve">0,2</t>
        </is>
      </c>
      <c r="P943" t="inlineStr">
        <is>
          <t xml:space="preserve">4816148165459</t>
        </is>
      </c>
      <c r="Q943" s="3" t="str">
        <f>HYPERLINK("https://modify.by/img/399302201/1.webp","фото")</f>
        <v>фото</v>
      </c>
      <c r="R943" s="3" t="str">
        <f>HYPERLINK("https://modify.by/catalog/rubashki/399302201/?utm_source=price&amp;utm_medium=xlsx","открыть")</f>
        <v>открыть</v>
      </c>
    </row>
    <row r="944">
      <c r="A944" t="inlineStr">
        <is>
          <t xml:space="preserve">Мужской</t>
        </is>
      </c>
      <c r="B944" t="inlineStr">
        <is>
          <t xml:space="preserve">Рубашки</t>
        </is>
      </c>
      <c r="C944" t="inlineStr">
        <is>
          <t xml:space="preserve">рубашка в клетку фланель</t>
        </is>
      </c>
      <c r="D944" t="inlineStr">
        <is>
          <t xml:space="preserve">SH32M14Красный,черный,белый</t>
        </is>
      </c>
      <c r="E944" t="inlineStr">
        <is>
          <t xml:space="preserve">красный, черный, белый</t>
        </is>
      </c>
      <c r="F944" t="inlineStr">
        <is>
          <t xml:space="preserve">46</t>
        </is>
      </c>
      <c r="G944">
        <v>1</v>
      </c>
      <c r="H944" s="2">
        <v>36.0</v>
      </c>
      <c r="I944" t="inlineStr">
        <is>
          <t xml:space="preserve">хлопок 100%</t>
        </is>
      </c>
      <c r="J944"/>
      <c r="K944" t="inlineStr">
        <is>
          <t xml:space="preserve">Бангладеш</t>
        </is>
      </c>
      <c r="L944" t="inlineStr">
        <is>
          <t xml:space="preserve">6205200000</t>
        </is>
      </c>
      <c r="M944" t="inlineStr">
        <is>
          <t xml:space="preserve">Декларация № ЕАЭС № BY/112 11.01. ТР017 122.01 08246</t>
        </is>
      </c>
      <c r="N944"/>
      <c r="O944"/>
      <c r="P944" t="inlineStr">
        <is>
          <t xml:space="preserve">2038096163352</t>
        </is>
      </c>
      <c r="Q944" s="3" t="str">
        <f>HYPERLINK("https://modify.by/img/173293469/1.webp","фото")</f>
        <v>фото</v>
      </c>
      <c r="R944" s="3" t="str">
        <f>HYPERLINK("https://modify.by/catalog/rubashki/173293469/?utm_source=price&amp;utm_medium=xlsx","открыть")</f>
        <v>открыть</v>
      </c>
    </row>
    <row r="945">
      <c r="A945" t="inlineStr">
        <is>
          <t xml:space="preserve">Мужской</t>
        </is>
      </c>
      <c r="B945" t="inlineStr">
        <is>
          <t xml:space="preserve">Рубашки</t>
        </is>
      </c>
      <c r="C945" t="inlineStr">
        <is>
          <t xml:space="preserve">рубашка клетчатая с длинным рукавом фланель, зеленый</t>
        </is>
      </c>
      <c r="D945" t="inlineStr">
        <is>
          <t xml:space="preserve">SH32M13малиновый,зеленый</t>
        </is>
      </c>
      <c r="E945" t="inlineStr">
        <is>
          <t xml:space="preserve">зеленый, малиновый</t>
        </is>
      </c>
      <c r="F945" t="inlineStr">
        <is>
          <t xml:space="preserve">44</t>
        </is>
      </c>
      <c r="G945">
        <v>1</v>
      </c>
      <c r="H945" s="2">
        <v>34.0</v>
      </c>
      <c r="I945" t="inlineStr">
        <is>
          <t xml:space="preserve">хлопок 100%</t>
        </is>
      </c>
      <c r="J945"/>
      <c r="K945" t="inlineStr">
        <is>
          <t xml:space="preserve">Бангладеш</t>
        </is>
      </c>
      <c r="L945" t="inlineStr">
        <is>
          <t xml:space="preserve">6205200000</t>
        </is>
      </c>
      <c r="M945" t="inlineStr">
        <is>
          <t xml:space="preserve">Декларация № ЕАЭС № BY/112 11.01. ТР017 122.01 08246, до 19.04.2028</t>
        </is>
      </c>
      <c r="N945" t="inlineStr">
        <is>
          <t xml:space="preserve">38 × 31 × 2</t>
        </is>
      </c>
      <c r="O945" t="inlineStr">
        <is>
          <t xml:space="preserve">0,35</t>
        </is>
      </c>
      <c r="P945" t="inlineStr">
        <is>
          <t xml:space="preserve">2038096181523</t>
        </is>
      </c>
      <c r="Q945" s="3" t="str">
        <f>HYPERLINK("https://modify.by/img/187544022/1.webp","фото")</f>
        <v>фото</v>
      </c>
      <c r="R945" s="3" t="str">
        <f>HYPERLINK("https://modify.by/catalog/rubashki/187544022/?utm_source=price&amp;utm_medium=xlsx","открыть")</f>
        <v>открыть</v>
      </c>
    </row>
    <row r="946">
      <c r="A946" t="inlineStr">
        <is>
          <t xml:space="preserve">Мужской</t>
        </is>
      </c>
      <c r="B946" t="inlineStr">
        <is>
          <t xml:space="preserve">Рубашки</t>
        </is>
      </c>
      <c r="C946" t="inlineStr">
        <is>
          <t xml:space="preserve">рубашка клетчатая с длинным рукавом фланель, красный</t>
        </is>
      </c>
      <c r="D946" t="inlineStr">
        <is>
          <t xml:space="preserve">SH32M13красный,темно-синий</t>
        </is>
      </c>
      <c r="E946" t="inlineStr">
        <is>
          <t xml:space="preserve">красный, темно-синий</t>
        </is>
      </c>
      <c r="F946" t="inlineStr">
        <is>
          <t xml:space="preserve">46</t>
        </is>
      </c>
      <c r="G946">
        <v>1</v>
      </c>
      <c r="H946" s="2">
        <v>34.0</v>
      </c>
      <c r="I946" t="inlineStr">
        <is>
          <t xml:space="preserve">хлопок 100%</t>
        </is>
      </c>
      <c r="J946"/>
      <c r="K946" t="inlineStr">
        <is>
          <t xml:space="preserve">Бангладеш</t>
        </is>
      </c>
      <c r="L946" t="inlineStr">
        <is>
          <t xml:space="preserve">6205200000</t>
        </is>
      </c>
      <c r="M946" t="inlineStr">
        <is>
          <t xml:space="preserve">Декларация № ЕАЭС № BY/112 11.01. ТР017 122.01 08246, до 19.04.2028</t>
        </is>
      </c>
      <c r="N946" t="inlineStr">
        <is>
          <t xml:space="preserve">38 × 31 × 2</t>
        </is>
      </c>
      <c r="O946" t="inlineStr">
        <is>
          <t xml:space="preserve">0,35</t>
        </is>
      </c>
      <c r="P946" t="inlineStr">
        <is>
          <t xml:space="preserve">2038096181332</t>
        </is>
      </c>
      <c r="Q946" s="3" t="str">
        <f>HYPERLINK("https://modify.by/img/187544020/1.webp","фото")</f>
        <v>фото</v>
      </c>
      <c r="R946" s="3" t="str">
        <f>HYPERLINK("https://modify.by/catalog/rubashki/187544020/?utm_source=price&amp;utm_medium=xlsx","открыть")</f>
        <v>открыть</v>
      </c>
    </row>
    <row r="947">
      <c r="A947" t="inlineStr">
        <is>
          <t xml:space="preserve">Мужской</t>
        </is>
      </c>
      <c r="B947" t="inlineStr">
        <is>
          <t xml:space="preserve">Рубашки</t>
        </is>
      </c>
      <c r="C947" t="inlineStr">
        <is>
          <t xml:space="preserve">рубашка клетчатая с длинным рукавом хлопок</t>
        </is>
      </c>
      <c r="D947" t="inlineStr">
        <is>
          <t xml:space="preserve">SH22M062темно-синий,красный</t>
        </is>
      </c>
      <c r="E947" t="inlineStr">
        <is>
          <t xml:space="preserve">красный, темно-синий</t>
        </is>
      </c>
      <c r="F947" t="inlineStr">
        <is>
          <t xml:space="preserve">48</t>
        </is>
      </c>
      <c r="G947">
        <v>1</v>
      </c>
      <c r="H947" s="2">
        <v>35.0</v>
      </c>
      <c r="I947" t="inlineStr">
        <is>
          <t xml:space="preserve">хлопок 100%</t>
        </is>
      </c>
      <c r="J947"/>
      <c r="K947" t="inlineStr">
        <is>
          <t xml:space="preserve">Бангладеш</t>
        </is>
      </c>
      <c r="L947" t="inlineStr">
        <is>
          <t xml:space="preserve">6205200000</t>
        </is>
      </c>
      <c r="M947" t="inlineStr">
        <is>
          <t xml:space="preserve">по запросу</t>
        </is>
      </c>
      <c r="N947"/>
      <c r="O947"/>
      <c r="P947" t="inlineStr">
        <is>
          <t xml:space="preserve">2016957076386</t>
        </is>
      </c>
      <c r="Q947" s="3" t="str">
        <f>HYPERLINK("https://modify.by/img/91110736/1.webp","фото")</f>
        <v>фото</v>
      </c>
      <c r="R947" s="3" t="str">
        <f>HYPERLINK("https://modify.by/catalog/rubashki/91110736/?utm_source=price&amp;utm_medium=xlsx","открыть")</f>
        <v>открыть</v>
      </c>
    </row>
    <row r="948">
      <c r="A948" t="inlineStr">
        <is>
          <t xml:space="preserve">Мужской</t>
        </is>
      </c>
      <c r="B948" t="inlineStr">
        <is>
          <t xml:space="preserve">Рубашки</t>
        </is>
      </c>
      <c r="C948" t="inlineStr">
        <is>
          <t xml:space="preserve">рубашка клетчатая хлопок</t>
        </is>
      </c>
      <c r="D948" t="inlineStr">
        <is>
          <t xml:space="preserve">SH32M052Желтый</t>
        </is>
      </c>
      <c r="E948" t="inlineStr">
        <is>
          <t xml:space="preserve">желтый</t>
        </is>
      </c>
      <c r="F948" t="inlineStr">
        <is>
          <t xml:space="preserve">46-48</t>
        </is>
      </c>
      <c r="G948">
        <v>1</v>
      </c>
      <c r="H948" s="2">
        <v>30.0</v>
      </c>
      <c r="I948" t="inlineStr">
        <is>
          <t xml:space="preserve">100% хлопок</t>
        </is>
      </c>
      <c r="J948"/>
      <c r="K948" t="inlineStr">
        <is>
          <t xml:space="preserve">Бангладеш</t>
        </is>
      </c>
      <c r="L948" t="inlineStr">
        <is>
          <t xml:space="preserve">6105100000</t>
        </is>
      </c>
      <c r="M948" t="inlineStr">
        <is>
          <t xml:space="preserve">по запросу</t>
        </is>
      </c>
      <c r="N948"/>
      <c r="O948"/>
      <c r="P948" t="inlineStr">
        <is>
          <t xml:space="preserve">2026620785699</t>
        </is>
      </c>
      <c r="Q948" s="3" t="str">
        <f>HYPERLINK("https://modify.by/img/145512184/1.webp","фото")</f>
        <v>фото</v>
      </c>
      <c r="R948" s="3" t="str">
        <f>HYPERLINK("https://modify.by/catalog/rubashki/145512184/?utm_source=price&amp;utm_medium=xlsx","открыть")</f>
        <v>открыть</v>
      </c>
    </row>
    <row r="949">
      <c r="A949" t="inlineStr">
        <is>
          <t xml:space="preserve">Мужской</t>
        </is>
      </c>
      <c r="B949" t="inlineStr">
        <is>
          <t xml:space="preserve">Рубашки</t>
        </is>
      </c>
      <c r="C949" t="inlineStr">
        <is>
          <t xml:space="preserve">рубашка с коротким рукавом модная</t>
        </is>
      </c>
      <c r="D949" t="inlineStr">
        <is>
          <t xml:space="preserve">T3SH42M03черный</t>
        </is>
      </c>
      <c r="E949" t="inlineStr">
        <is>
          <t xml:space="preserve">черный</t>
        </is>
      </c>
      <c r="F949" t="inlineStr">
        <is>
          <t xml:space="preserve">52</t>
        </is>
      </c>
      <c r="G949">
        <v>6</v>
      </c>
      <c r="H949" s="2">
        <v>40.0</v>
      </c>
      <c r="I949" t="inlineStr">
        <is>
          <t xml:space="preserve">полиэстер 100%</t>
        </is>
      </c>
      <c r="J949"/>
      <c r="K949" t="inlineStr">
        <is>
          <t xml:space="preserve">Китай</t>
        </is>
      </c>
      <c r="L949" t="inlineStr">
        <is>
          <t xml:space="preserve">6205200000</t>
        </is>
      </c>
      <c r="M949" t="inlineStr">
        <is>
          <t xml:space="preserve">Декларация № ЕАЭС N RU Д-CN.РА02.В.44039/24, до 28.02.2029</t>
        </is>
      </c>
      <c r="N949" t="inlineStr">
        <is>
          <t xml:space="preserve">32 × 27 × 2</t>
        </is>
      </c>
      <c r="O949" t="inlineStr">
        <is>
          <t xml:space="preserve">0,29</t>
        </is>
      </c>
      <c r="P949" t="inlineStr">
        <is>
          <t xml:space="preserve">4816148106902</t>
        </is>
      </c>
      <c r="Q949" s="3" t="str">
        <f>HYPERLINK("https://modify.by/img/239180712/1.webp","фото")</f>
        <v>фото</v>
      </c>
      <c r="R949" s="3" t="str">
        <f>HYPERLINK("https://modify.by/catalog/rubashki/239180712/?utm_source=price&amp;utm_medium=xlsx","открыть")</f>
        <v>открыть</v>
      </c>
    </row>
    <row r="950">
      <c r="A950" t="inlineStr">
        <is>
          <t xml:space="preserve">Мужской</t>
        </is>
      </c>
      <c r="B950" t="inlineStr">
        <is>
          <t xml:space="preserve">Рубашки</t>
        </is>
      </c>
      <c r="C950" t="inlineStr">
        <is>
          <t xml:space="preserve">рубашка хлопок</t>
        </is>
      </c>
      <c r="D950" t="inlineStr">
        <is>
          <t xml:space="preserve">SH32M12розовый</t>
        </is>
      </c>
      <c r="E950" t="inlineStr">
        <is>
          <t xml:space="preserve">розовый</t>
        </is>
      </c>
      <c r="F950" t="inlineStr">
        <is>
          <t xml:space="preserve">44</t>
        </is>
      </c>
      <c r="G950">
        <v>1</v>
      </c>
      <c r="H950" s="2">
        <v>37.0</v>
      </c>
      <c r="I950" t="inlineStr">
        <is>
          <t xml:space="preserve">хлопок 100%</t>
        </is>
      </c>
      <c r="J950"/>
      <c r="K950" t="inlineStr">
        <is>
          <t xml:space="preserve">Бангладеш</t>
        </is>
      </c>
      <c r="L950" t="inlineStr">
        <is>
          <t xml:space="preserve">6205200000</t>
        </is>
      </c>
      <c r="M950" t="inlineStr">
        <is>
          <t xml:space="preserve">Декларация № ЕАЭС № BY/112 11.01. ТР017 122.01 08246, до 19.04.2028</t>
        </is>
      </c>
      <c r="N950" t="inlineStr">
        <is>
          <t xml:space="preserve">38 × 31 × 2</t>
        </is>
      </c>
      <c r="O950" t="inlineStr">
        <is>
          <t xml:space="preserve">0,45</t>
        </is>
      </c>
      <c r="P950" t="inlineStr">
        <is>
          <t xml:space="preserve">2038096180878</t>
        </is>
      </c>
      <c r="Q950" s="3" t="str">
        <f>HYPERLINK("https://modify.by/img/187538476/1.webp","фото")</f>
        <v>фото</v>
      </c>
      <c r="R950" s="3" t="str">
        <f>HYPERLINK("https://modify.by/catalog/rubashki/187538476/?utm_source=price&amp;utm_medium=xlsx","открыть")</f>
        <v>открыть</v>
      </c>
    </row>
    <row r="951">
      <c r="A951" t="inlineStr">
        <is>
          <t xml:space="preserve">Мужской</t>
        </is>
      </c>
      <c r="B951" t="inlineStr">
        <is>
          <t xml:space="preserve">Свитеры</t>
        </is>
      </c>
      <c r="C951" t="inlineStr">
        <is>
          <t xml:space="preserve">Cвитер с горлом на молнии</t>
        </is>
      </c>
      <c r="D951" t="inlineStr">
        <is>
          <t xml:space="preserve">SW32M29Сине-морской</t>
        </is>
      </c>
      <c r="E951" t="inlineStr">
        <is>
          <t xml:space="preserve">сине-бирюзовый, сине-морской</t>
        </is>
      </c>
      <c r="F951" t="inlineStr">
        <is>
          <t xml:space="preserve">56-170</t>
        </is>
      </c>
      <c r="G951">
        <v>1</v>
      </c>
      <c r="H951" s="2">
        <v>39.0</v>
      </c>
      <c r="I951" t="inlineStr">
        <is>
          <t xml:space="preserve">хлопок 100%</t>
        </is>
      </c>
      <c r="J951"/>
      <c r="K951" t="inlineStr">
        <is>
          <t xml:space="preserve">Бангладеш</t>
        </is>
      </c>
      <c r="L951" t="inlineStr">
        <is>
          <t xml:space="preserve">6110209100</t>
        </is>
      </c>
      <c r="M951" t="inlineStr">
        <is>
          <t xml:space="preserve">Декларация № ЕАЭС № BY/112 11.01. ТР017 122.01 08246, до 19.04.2028</t>
        </is>
      </c>
      <c r="N951" t="inlineStr">
        <is>
          <t xml:space="preserve">40 × 30 × 2</t>
        </is>
      </c>
      <c r="O951" t="inlineStr">
        <is>
          <t xml:space="preserve">0,49</t>
        </is>
      </c>
      <c r="P951" t="inlineStr">
        <is>
          <t xml:space="preserve">2038096171418</t>
        </is>
      </c>
      <c r="Q951" s="3" t="str">
        <f>HYPERLINK("https://modify.by/img/175500020/1.webp","фото")</f>
        <v>фото</v>
      </c>
      <c r="R951" s="3" t="str">
        <f>HYPERLINK("https://modify.by/catalog/svitery/175500020/?utm_source=price&amp;utm_medium=xlsx","открыть")</f>
        <v>открыть</v>
      </c>
    </row>
    <row r="952">
      <c r="A952" t="inlineStr">
        <is>
          <t xml:space="preserve">Мужской</t>
        </is>
      </c>
      <c r="B952" t="inlineStr">
        <is>
          <t xml:space="preserve">Свитеры</t>
        </is>
      </c>
      <c r="C952" t="inlineStr">
        <is>
          <t xml:space="preserve">Джемпер V-образный вырез хлопок базовый тонкий, песочный</t>
        </is>
      </c>
      <c r="D952" t="inlineStr">
        <is>
          <t xml:space="preserve">SW42M04песочный</t>
        </is>
      </c>
      <c r="E952" t="inlineStr">
        <is>
          <t xml:space="preserve">песочный, бежевый лайт</t>
        </is>
      </c>
      <c r="F952" t="inlineStr">
        <is>
          <t xml:space="preserve">46</t>
        </is>
      </c>
      <c r="G952">
        <v>17</v>
      </c>
      <c r="H952" s="2">
        <v>27.0</v>
      </c>
      <c r="I952" t="inlineStr">
        <is>
          <t xml:space="preserve">98% хлопок, 2% эластан</t>
        </is>
      </c>
      <c r="J952"/>
      <c r="K952" t="inlineStr">
        <is>
          <t xml:space="preserve">Бангладеш</t>
        </is>
      </c>
      <c r="L952" t="inlineStr">
        <is>
          <t xml:space="preserve">6110209100</t>
        </is>
      </c>
      <c r="M952" t="inlineStr">
        <is>
          <t xml:space="preserve">Декларация № ЕАЭС № BY/112 11.01. ТР017 122.01 08246, до 19.04.2028</t>
        </is>
      </c>
      <c r="N952" t="inlineStr">
        <is>
          <t xml:space="preserve">37 × 27 × 2</t>
        </is>
      </c>
      <c r="O952" t="inlineStr">
        <is>
          <t xml:space="preserve">0,36</t>
        </is>
      </c>
      <c r="P952" t="inlineStr">
        <is>
          <t xml:space="preserve">4816148138156</t>
        </is>
      </c>
      <c r="Q952" s="3" t="str">
        <f>HYPERLINK("https://modify.by/img/258242610/1.webp","фото")</f>
        <v>фото</v>
      </c>
      <c r="R952" s="3" t="str">
        <f>HYPERLINK("https://modify.by/catalog/svitery/258242610/?utm_source=price&amp;utm_medium=xlsx","открыть")</f>
        <v>открыть</v>
      </c>
    </row>
    <row r="953">
      <c r="A953" t="inlineStr">
        <is>
          <t xml:space="preserve">Мужской</t>
        </is>
      </c>
      <c r="B953" t="inlineStr">
        <is>
          <t xml:space="preserve">Свитеры</t>
        </is>
      </c>
      <c r="C953" t="inlineStr">
        <is>
          <t xml:space="preserve">Джемпер V-образный вырез хлопок базовый тонкий, песочный</t>
        </is>
      </c>
      <c r="D953" t="inlineStr">
        <is>
          <t xml:space="preserve">SW42M04песочный</t>
        </is>
      </c>
      <c r="E953" t="inlineStr">
        <is>
          <t xml:space="preserve">песочный, бежевый лайт</t>
        </is>
      </c>
      <c r="F953" t="inlineStr">
        <is>
          <t xml:space="preserve">48</t>
        </is>
      </c>
      <c r="G953">
        <v>18</v>
      </c>
      <c r="H953" s="2">
        <v>27.0</v>
      </c>
      <c r="I953" t="inlineStr">
        <is>
          <t xml:space="preserve">98% хлопок, 2% эластан</t>
        </is>
      </c>
      <c r="J953"/>
      <c r="K953" t="inlineStr">
        <is>
          <t xml:space="preserve">Бангладеш</t>
        </is>
      </c>
      <c r="L953" t="inlineStr">
        <is>
          <t xml:space="preserve">6110209100</t>
        </is>
      </c>
      <c r="M953" t="inlineStr">
        <is>
          <t xml:space="preserve">Декларация № ЕАЭС № BY/112 11.01. ТР017 122.01 08246, до 19.04.2028</t>
        </is>
      </c>
      <c r="N953" t="inlineStr">
        <is>
          <t xml:space="preserve">37 × 27 × 2</t>
        </is>
      </c>
      <c r="O953" t="inlineStr">
        <is>
          <t xml:space="preserve">0,36</t>
        </is>
      </c>
      <c r="P953" t="inlineStr">
        <is>
          <t xml:space="preserve">4816148138163</t>
        </is>
      </c>
      <c r="Q953" s="3" t="str">
        <f>HYPERLINK("https://modify.by/img/258242610/1.webp","фото")</f>
        <v>фото</v>
      </c>
      <c r="R953" s="3" t="str">
        <f>HYPERLINK("https://modify.by/catalog/svitery/258242610/?utm_source=price&amp;utm_medium=xlsx","открыть")</f>
        <v>открыть</v>
      </c>
    </row>
    <row r="954">
      <c r="A954" t="inlineStr">
        <is>
          <t xml:space="preserve">Мужской</t>
        </is>
      </c>
      <c r="B954" t="inlineStr">
        <is>
          <t xml:space="preserve">Свитеры</t>
        </is>
      </c>
      <c r="C954" t="inlineStr">
        <is>
          <t xml:space="preserve">Джемпер V-образный вырез хлопок базовый тонкий, песочный</t>
        </is>
      </c>
      <c r="D954" t="inlineStr">
        <is>
          <t xml:space="preserve">SW42M04песочный</t>
        </is>
      </c>
      <c r="E954" t="inlineStr">
        <is>
          <t xml:space="preserve">песочный, бежевый лайт</t>
        </is>
      </c>
      <c r="F954" t="inlineStr">
        <is>
          <t xml:space="preserve">50</t>
        </is>
      </c>
      <c r="G954">
        <v>47</v>
      </c>
      <c r="H954" s="2">
        <v>27.0</v>
      </c>
      <c r="I954" t="inlineStr">
        <is>
          <t xml:space="preserve">98% хлопок, 2% эластан</t>
        </is>
      </c>
      <c r="J954"/>
      <c r="K954" t="inlineStr">
        <is>
          <t xml:space="preserve">Бангладеш</t>
        </is>
      </c>
      <c r="L954" t="inlineStr">
        <is>
          <t xml:space="preserve">6110209100</t>
        </is>
      </c>
      <c r="M954" t="inlineStr">
        <is>
          <t xml:space="preserve">Декларация № ЕАЭС № BY/112 11.01. ТР017 122.01 08246, до 19.04.2028</t>
        </is>
      </c>
      <c r="N954" t="inlineStr">
        <is>
          <t xml:space="preserve">37 × 27 × 2</t>
        </is>
      </c>
      <c r="O954" t="inlineStr">
        <is>
          <t xml:space="preserve">0,36</t>
        </is>
      </c>
      <c r="P954" t="inlineStr">
        <is>
          <t xml:space="preserve">4816148138170</t>
        </is>
      </c>
      <c r="Q954" s="3" t="str">
        <f>HYPERLINK("https://modify.by/img/258242610/1.webp","фото")</f>
        <v>фото</v>
      </c>
      <c r="R954" s="3" t="str">
        <f>HYPERLINK("https://modify.by/catalog/svitery/258242610/?utm_source=price&amp;utm_medium=xlsx","открыть")</f>
        <v>открыть</v>
      </c>
    </row>
    <row r="955">
      <c r="A955" t="inlineStr">
        <is>
          <t xml:space="preserve">Мужской</t>
        </is>
      </c>
      <c r="B955" t="inlineStr">
        <is>
          <t xml:space="preserve">Свитеры</t>
        </is>
      </c>
      <c r="C955" t="inlineStr">
        <is>
          <t xml:space="preserve">Джемпер V-образный вырез хлопок базовый тонкий, песочный</t>
        </is>
      </c>
      <c r="D955" t="inlineStr">
        <is>
          <t xml:space="preserve">SW42M04песочный</t>
        </is>
      </c>
      <c r="E955" t="inlineStr">
        <is>
          <t xml:space="preserve">песочный, бежевый лайт</t>
        </is>
      </c>
      <c r="F955" t="inlineStr">
        <is>
          <t xml:space="preserve">54</t>
        </is>
      </c>
      <c r="G955">
        <v>16</v>
      </c>
      <c r="H955" s="2">
        <v>27.0</v>
      </c>
      <c r="I955" t="inlineStr">
        <is>
          <t xml:space="preserve">98% хлопок, 2% эластан</t>
        </is>
      </c>
      <c r="J955"/>
      <c r="K955" t="inlineStr">
        <is>
          <t xml:space="preserve">Бангладеш</t>
        </is>
      </c>
      <c r="L955" t="inlineStr">
        <is>
          <t xml:space="preserve">6110209100</t>
        </is>
      </c>
      <c r="M955" t="inlineStr">
        <is>
          <t xml:space="preserve">Декларация № ЕАЭС № BY/112 11.01. ТР017 122.01 08246, до 19.04.2028</t>
        </is>
      </c>
      <c r="N955" t="inlineStr">
        <is>
          <t xml:space="preserve">37 × 27 × 2</t>
        </is>
      </c>
      <c r="O955" t="inlineStr">
        <is>
          <t xml:space="preserve">0,36</t>
        </is>
      </c>
      <c r="P955" t="inlineStr">
        <is>
          <t xml:space="preserve">4816148138194</t>
        </is>
      </c>
      <c r="Q955" s="3" t="str">
        <f>HYPERLINK("https://modify.by/img/258242610/1.webp","фото")</f>
        <v>фото</v>
      </c>
      <c r="R955" s="3" t="str">
        <f>HYPERLINK("https://modify.by/catalog/svitery/258242610/?utm_source=price&amp;utm_medium=xlsx","открыть")</f>
        <v>открыть</v>
      </c>
    </row>
    <row r="956">
      <c r="A956" t="inlineStr">
        <is>
          <t xml:space="preserve">Мужской</t>
        </is>
      </c>
      <c r="B956" t="inlineStr">
        <is>
          <t xml:space="preserve">Свитеры</t>
        </is>
      </c>
      <c r="C956" t="inlineStr">
        <is>
          <t xml:space="preserve">Джемпер V-образный вырез хлопок базовый тонкий, темно-синий</t>
        </is>
      </c>
      <c r="D956" t="inlineStr">
        <is>
          <t xml:space="preserve">SW42M04темно-синий</t>
        </is>
      </c>
      <c r="E956" t="inlineStr">
        <is>
          <t xml:space="preserve">темно-синий</t>
        </is>
      </c>
      <c r="F956" t="inlineStr">
        <is>
          <t xml:space="preserve">46</t>
        </is>
      </c>
      <c r="G956">
        <v>6</v>
      </c>
      <c r="H956" s="2">
        <v>27.0</v>
      </c>
      <c r="I956" t="inlineStr">
        <is>
          <t xml:space="preserve">98% хлопок, 2% эластан</t>
        </is>
      </c>
      <c r="J956"/>
      <c r="K956" t="inlineStr">
        <is>
          <t xml:space="preserve">Бангладеш</t>
        </is>
      </c>
      <c r="L956" t="inlineStr">
        <is>
          <t xml:space="preserve">6110209100</t>
        </is>
      </c>
      <c r="M956" t="inlineStr">
        <is>
          <t xml:space="preserve">Декларация № ЕАЭС № BY/112 11.01. ТР017 122.01 08246, до 19.04.2028</t>
        </is>
      </c>
      <c r="N956" t="inlineStr">
        <is>
          <t xml:space="preserve">37 × 27 × 2</t>
        </is>
      </c>
      <c r="O956" t="inlineStr">
        <is>
          <t xml:space="preserve">0,36</t>
        </is>
      </c>
      <c r="P956" t="inlineStr">
        <is>
          <t xml:space="preserve">4816148138101</t>
        </is>
      </c>
      <c r="Q956" s="3" t="str">
        <f>HYPERLINK("https://modify.by/img/258242609/1.webp","фото")</f>
        <v>фото</v>
      </c>
      <c r="R956" s="3" t="str">
        <f>HYPERLINK("https://modify.by/catalog/svitery/258242609/?utm_source=price&amp;utm_medium=xlsx","открыть")</f>
        <v>открыть</v>
      </c>
    </row>
    <row r="957">
      <c r="A957" t="inlineStr">
        <is>
          <t xml:space="preserve">Мужской</t>
        </is>
      </c>
      <c r="B957" t="inlineStr">
        <is>
          <t xml:space="preserve">Свитеры</t>
        </is>
      </c>
      <c r="C957" t="inlineStr">
        <is>
          <t xml:space="preserve">Джемпер V-образный вырез хлопок базовый тонкий, темно-синий</t>
        </is>
      </c>
      <c r="D957" t="inlineStr">
        <is>
          <t xml:space="preserve">SW42M04темно-синий</t>
        </is>
      </c>
      <c r="E957" t="inlineStr">
        <is>
          <t xml:space="preserve">темно-синий</t>
        </is>
      </c>
      <c r="F957" t="inlineStr">
        <is>
          <t xml:space="preserve">48</t>
        </is>
      </c>
      <c r="G957">
        <v>14</v>
      </c>
      <c r="H957" s="2">
        <v>27.0</v>
      </c>
      <c r="I957" t="inlineStr">
        <is>
          <t xml:space="preserve">98% хлопок, 2% эластан</t>
        </is>
      </c>
      <c r="J957"/>
      <c r="K957" t="inlineStr">
        <is>
          <t xml:space="preserve">Бангладеш</t>
        </is>
      </c>
      <c r="L957" t="inlineStr">
        <is>
          <t xml:space="preserve">6110209100</t>
        </is>
      </c>
      <c r="M957" t="inlineStr">
        <is>
          <t xml:space="preserve">Декларация № ЕАЭС № BY/112 11.01. ТР017 122.01 08246, до 19.04.2028</t>
        </is>
      </c>
      <c r="N957" t="inlineStr">
        <is>
          <t xml:space="preserve">37 × 27 × 2</t>
        </is>
      </c>
      <c r="O957" t="inlineStr">
        <is>
          <t xml:space="preserve">0,36</t>
        </is>
      </c>
      <c r="P957" t="inlineStr">
        <is>
          <t xml:space="preserve">4816148138118</t>
        </is>
      </c>
      <c r="Q957" s="3" t="str">
        <f>HYPERLINK("https://modify.by/img/258242609/1.webp","фото")</f>
        <v>фото</v>
      </c>
      <c r="R957" s="3" t="str">
        <f>HYPERLINK("https://modify.by/catalog/svitery/258242609/?utm_source=price&amp;utm_medium=xlsx","открыть")</f>
        <v>открыть</v>
      </c>
    </row>
    <row r="958">
      <c r="A958" t="inlineStr">
        <is>
          <t xml:space="preserve">Мужской</t>
        </is>
      </c>
      <c r="B958" t="inlineStr">
        <is>
          <t xml:space="preserve">Свитеры</t>
        </is>
      </c>
      <c r="C958" t="inlineStr">
        <is>
          <t xml:space="preserve">Джемпер базовый классический 100%хлопок</t>
        </is>
      </c>
      <c r="D958" t="inlineStr">
        <is>
          <t xml:space="preserve">SW52M04темно-синий/176</t>
        </is>
      </c>
      <c r="E958" t="inlineStr">
        <is>
          <t xml:space="preserve">темно-синий</t>
        </is>
      </c>
      <c r="F958" t="inlineStr">
        <is>
          <t xml:space="preserve">50</t>
        </is>
      </c>
      <c r="G958">
        <v>4</v>
      </c>
      <c r="H958" s="2">
        <v>36.0</v>
      </c>
      <c r="I958" t="inlineStr">
        <is>
          <t xml:space="preserve">хлопок 100%</t>
        </is>
      </c>
      <c r="J958"/>
      <c r="K958" t="inlineStr">
        <is>
          <t xml:space="preserve">Бангладеш</t>
        </is>
      </c>
      <c r="L958" t="inlineStr">
        <is>
          <t xml:space="preserve">6110209100</t>
        </is>
      </c>
      <c r="M958" t="inlineStr">
        <is>
          <t xml:space="preserve">Декларация № ЕАЭС № BY/112 11.01. ТР017 122.01 08246, до 19.04.2028</t>
        </is>
      </c>
      <c r="N958" t="inlineStr">
        <is>
          <t xml:space="preserve">40 × 30 × 2</t>
        </is>
      </c>
      <c r="O958" t="inlineStr">
        <is>
          <t xml:space="preserve">0,37</t>
        </is>
      </c>
      <c r="P958" t="inlineStr">
        <is>
          <t xml:space="preserve">4816148169631</t>
        </is>
      </c>
      <c r="Q958" s="3" t="str">
        <f>HYPERLINK("https://modify.by/img/157027466/1.webp","фото")</f>
        <v>фото</v>
      </c>
      <c r="R958" s="3" t="str">
        <f>HYPERLINK("https://modify.by/catalog/svitery/157027466/?utm_source=price&amp;utm_medium=xlsx","открыть")</f>
        <v>открыть</v>
      </c>
    </row>
    <row r="959">
      <c r="A959" t="inlineStr">
        <is>
          <t xml:space="preserve">Мужской</t>
        </is>
      </c>
      <c r="B959" t="inlineStr">
        <is>
          <t xml:space="preserve">Свитеры</t>
        </is>
      </c>
      <c r="C959" t="inlineStr">
        <is>
          <t xml:space="preserve">Джемпер базовый офисный тонкий шерсть в составе</t>
        </is>
      </c>
      <c r="D959" t="inlineStr">
        <is>
          <t xml:space="preserve">SW52M03серый</t>
        </is>
      </c>
      <c r="E959" t="inlineStr">
        <is>
          <t xml:space="preserve">серый меланж, светло-серый</t>
        </is>
      </c>
      <c r="F959" t="inlineStr">
        <is>
          <t xml:space="preserve">48</t>
        </is>
      </c>
      <c r="G959">
        <v>19</v>
      </c>
      <c r="H959" s="2">
        <v>32.0</v>
      </c>
      <c r="I959" t="inlineStr">
        <is>
          <t xml:space="preserve">30% шерсть 18% вискоза 18% акрил 17% полиэстер 17% полиамид</t>
        </is>
      </c>
      <c r="J959"/>
      <c r="K959" t="inlineStr">
        <is>
          <t xml:space="preserve">Бангладеш</t>
        </is>
      </c>
      <c r="L959" t="inlineStr">
        <is>
          <t xml:space="preserve">6110209100</t>
        </is>
      </c>
      <c r="M959" t="inlineStr">
        <is>
          <t xml:space="preserve">Декларация № ЕАЭС № BY/112 11.01. ТР017 122.01 08246, до 19.04.2028</t>
        </is>
      </c>
      <c r="N959" t="inlineStr">
        <is>
          <t xml:space="preserve">37 × 30 × 2</t>
        </is>
      </c>
      <c r="O959" t="inlineStr">
        <is>
          <t xml:space="preserve">0,38</t>
        </is>
      </c>
      <c r="P959" t="inlineStr">
        <is>
          <t xml:space="preserve">4816148171184</t>
        </is>
      </c>
      <c r="Q959" s="3" t="str">
        <f>HYPERLINK("https://modify.by/img/598388470/1.webp","фото")</f>
        <v>фото</v>
      </c>
      <c r="R959" s="3" t="str">
        <f>HYPERLINK("https://modify.by/catalog/svitery/598388470/?utm_source=price&amp;utm_medium=xlsx","открыть")</f>
        <v>открыть</v>
      </c>
    </row>
    <row r="960">
      <c r="A960" t="inlineStr">
        <is>
          <t xml:space="preserve">Мужской</t>
        </is>
      </c>
      <c r="B960" t="inlineStr">
        <is>
          <t xml:space="preserve">Свитеры</t>
        </is>
      </c>
      <c r="C960" t="inlineStr">
        <is>
          <t xml:space="preserve">Джемпер базовый офисный тонкий шерсть в составе</t>
        </is>
      </c>
      <c r="D960" t="inlineStr">
        <is>
          <t xml:space="preserve">SW52M03серый</t>
        </is>
      </c>
      <c r="E960" t="inlineStr">
        <is>
          <t xml:space="preserve">серый меланж, светло-серый</t>
        </is>
      </c>
      <c r="F960" t="inlineStr">
        <is>
          <t xml:space="preserve">50</t>
        </is>
      </c>
      <c r="G960">
        <v>45</v>
      </c>
      <c r="H960" s="2">
        <v>32.0</v>
      </c>
      <c r="I960" t="inlineStr">
        <is>
          <t xml:space="preserve">30% шерсть 18% вискоза 18% акрил 17% полиэстер 17% полиамид</t>
        </is>
      </c>
      <c r="J960"/>
      <c r="K960" t="inlineStr">
        <is>
          <t xml:space="preserve">Бангладеш</t>
        </is>
      </c>
      <c r="L960" t="inlineStr">
        <is>
          <t xml:space="preserve">6110209100</t>
        </is>
      </c>
      <c r="M960" t="inlineStr">
        <is>
          <t xml:space="preserve">Декларация № ЕАЭС № BY/112 11.01. ТР017 122.01 08246, до 19.04.2028</t>
        </is>
      </c>
      <c r="N960" t="inlineStr">
        <is>
          <t xml:space="preserve">37 × 30 × 2</t>
        </is>
      </c>
      <c r="O960" t="inlineStr">
        <is>
          <t xml:space="preserve">0,38</t>
        </is>
      </c>
      <c r="P960" t="inlineStr">
        <is>
          <t xml:space="preserve">4816148171191</t>
        </is>
      </c>
      <c r="Q960" s="3" t="str">
        <f>HYPERLINK("https://modify.by/img/598388470/1.webp","фото")</f>
        <v>фото</v>
      </c>
      <c r="R960" s="3" t="str">
        <f>HYPERLINK("https://modify.by/catalog/svitery/598388470/?utm_source=price&amp;utm_medium=xlsx","открыть")</f>
        <v>открыть</v>
      </c>
    </row>
    <row r="961">
      <c r="A961" t="inlineStr">
        <is>
          <t xml:space="preserve">Мужской</t>
        </is>
      </c>
      <c r="B961" t="inlineStr">
        <is>
          <t xml:space="preserve">Свитеры</t>
        </is>
      </c>
      <c r="C961" t="inlineStr">
        <is>
          <t xml:space="preserve">Джемпер базовый офисный тонкий шерсть в составе</t>
        </is>
      </c>
      <c r="D961" t="inlineStr">
        <is>
          <t xml:space="preserve">SW52M03серый</t>
        </is>
      </c>
      <c r="E961" t="inlineStr">
        <is>
          <t xml:space="preserve">серый меланж, светло-серый</t>
        </is>
      </c>
      <c r="F961" t="inlineStr">
        <is>
          <t xml:space="preserve">52</t>
        </is>
      </c>
      <c r="G961">
        <v>94</v>
      </c>
      <c r="H961" s="2">
        <v>32.0</v>
      </c>
      <c r="I961" t="inlineStr">
        <is>
          <t xml:space="preserve">30% шерсть 18% вискоза 18% акрил 17% полиэстер 17% полиамид</t>
        </is>
      </c>
      <c r="J961"/>
      <c r="K961" t="inlineStr">
        <is>
          <t xml:space="preserve">Бангладеш</t>
        </is>
      </c>
      <c r="L961" t="inlineStr">
        <is>
          <t xml:space="preserve">6110209100</t>
        </is>
      </c>
      <c r="M961" t="inlineStr">
        <is>
          <t xml:space="preserve">Декларация № ЕАЭС № BY/112 11.01. ТР017 122.01 08246, до 19.04.2028</t>
        </is>
      </c>
      <c r="N961" t="inlineStr">
        <is>
          <t xml:space="preserve">37 × 30 × 2</t>
        </is>
      </c>
      <c r="O961" t="inlineStr">
        <is>
          <t xml:space="preserve">0,38</t>
        </is>
      </c>
      <c r="P961" t="inlineStr">
        <is>
          <t xml:space="preserve">4816148171207</t>
        </is>
      </c>
      <c r="Q961" s="3" t="str">
        <f>HYPERLINK("https://modify.by/img/598388470/1.webp","фото")</f>
        <v>фото</v>
      </c>
      <c r="R961" s="3" t="str">
        <f>HYPERLINK("https://modify.by/catalog/svitery/598388470/?utm_source=price&amp;utm_medium=xlsx","открыть")</f>
        <v>открыть</v>
      </c>
    </row>
    <row r="962">
      <c r="A962" t="inlineStr">
        <is>
          <t xml:space="preserve">Мужской</t>
        </is>
      </c>
      <c r="B962" t="inlineStr">
        <is>
          <t xml:space="preserve">Свитеры</t>
        </is>
      </c>
      <c r="C962" t="inlineStr">
        <is>
          <t xml:space="preserve">Джемпер базовый теплый хлопковый большие размеры</t>
        </is>
      </c>
      <c r="D962" t="inlineStr">
        <is>
          <t xml:space="preserve">SW52M04бородовый/176</t>
        </is>
      </c>
      <c r="E962" t="inlineStr">
        <is>
          <t xml:space="preserve">бордовый</t>
        </is>
      </c>
      <c r="F962" t="inlineStr">
        <is>
          <t xml:space="preserve">48</t>
        </is>
      </c>
      <c r="G962">
        <v>12</v>
      </c>
      <c r="H962" s="2">
        <v>36.0</v>
      </c>
      <c r="I962" t="inlineStr">
        <is>
          <t xml:space="preserve">хлопок 100%</t>
        </is>
      </c>
      <c r="J962"/>
      <c r="K962" t="inlineStr">
        <is>
          <t xml:space="preserve">Бангладеш</t>
        </is>
      </c>
      <c r="L962" t="inlineStr">
        <is>
          <t xml:space="preserve">6110209100</t>
        </is>
      </c>
      <c r="M962" t="inlineStr">
        <is>
          <t xml:space="preserve">Декларация № ЕАЭС № BY/112 11.01. ТР017 122.01 08246, до 19.04.2028</t>
        </is>
      </c>
      <c r="N962" t="inlineStr">
        <is>
          <t xml:space="preserve">40 × 20 × 2</t>
        </is>
      </c>
      <c r="O962" t="inlineStr">
        <is>
          <t xml:space="preserve">0,37</t>
        </is>
      </c>
      <c r="P962" t="inlineStr">
        <is>
          <t xml:space="preserve">4816148169891</t>
        </is>
      </c>
      <c r="Q962" s="3" t="str">
        <f>HYPERLINK("https://modify.by/img/538881643/1.webp","фото")</f>
        <v>фото</v>
      </c>
      <c r="R962" s="3" t="str">
        <f>HYPERLINK("https://modify.by/catalog/svitery/538881643/?utm_source=price&amp;utm_medium=xlsx","открыть")</f>
        <v>открыть</v>
      </c>
    </row>
    <row r="963">
      <c r="A963" t="inlineStr">
        <is>
          <t xml:space="preserve">Мужской</t>
        </is>
      </c>
      <c r="B963" t="inlineStr">
        <is>
          <t xml:space="preserve">Свитеры</t>
        </is>
      </c>
      <c r="C963" t="inlineStr">
        <is>
          <t xml:space="preserve">Джемпер базовый теплый хлопковый большие размеры</t>
        </is>
      </c>
      <c r="D963" t="inlineStr">
        <is>
          <t xml:space="preserve">SW52M04бородовый/176</t>
        </is>
      </c>
      <c r="E963" t="inlineStr">
        <is>
          <t xml:space="preserve">бордовый</t>
        </is>
      </c>
      <c r="F963" t="inlineStr">
        <is>
          <t xml:space="preserve">50</t>
        </is>
      </c>
      <c r="G963">
        <v>5</v>
      </c>
      <c r="H963" s="2">
        <v>36.0</v>
      </c>
      <c r="I963" t="inlineStr">
        <is>
          <t xml:space="preserve">хлопок 100%</t>
        </is>
      </c>
      <c r="J963"/>
      <c r="K963" t="inlineStr">
        <is>
          <t xml:space="preserve">Бангладеш</t>
        </is>
      </c>
      <c r="L963" t="inlineStr">
        <is>
          <t xml:space="preserve">6110209100</t>
        </is>
      </c>
      <c r="M963" t="inlineStr">
        <is>
          <t xml:space="preserve">Декларация № ЕАЭС № BY/112 11.01. ТР017 122.01 08246, до 19.04.2028</t>
        </is>
      </c>
      <c r="N963" t="inlineStr">
        <is>
          <t xml:space="preserve">40 × 20 × 2</t>
        </is>
      </c>
      <c r="O963" t="inlineStr">
        <is>
          <t xml:space="preserve">0,37</t>
        </is>
      </c>
      <c r="P963" t="inlineStr">
        <is>
          <t xml:space="preserve">4816148169907</t>
        </is>
      </c>
      <c r="Q963" s="3" t="str">
        <f>HYPERLINK("https://modify.by/img/538881643/1.webp","фото")</f>
        <v>фото</v>
      </c>
      <c r="R963" s="3" t="str">
        <f>HYPERLINK("https://modify.by/catalog/svitery/538881643/?utm_source=price&amp;utm_medium=xlsx","открыть")</f>
        <v>открыть</v>
      </c>
    </row>
    <row r="964">
      <c r="A964" t="inlineStr">
        <is>
          <t xml:space="preserve">Мужской</t>
        </is>
      </c>
      <c r="B964" t="inlineStr">
        <is>
          <t xml:space="preserve">Свитеры</t>
        </is>
      </c>
      <c r="C964" t="inlineStr">
        <is>
          <t xml:space="preserve">Джемпер классический офисный, светлый хаки</t>
        </is>
      </c>
      <c r="D964" t="inlineStr">
        <is>
          <t xml:space="preserve">SW42M04светлый хаки</t>
        </is>
      </c>
      <c r="E964" t="inlineStr">
        <is>
          <t xml:space="preserve">светлый хаки, светло-зеленый</t>
        </is>
      </c>
      <c r="F964" t="inlineStr">
        <is>
          <t xml:space="preserve">46</t>
        </is>
      </c>
      <c r="G964">
        <v>8</v>
      </c>
      <c r="H964" s="2">
        <v>27.0</v>
      </c>
      <c r="I964" t="inlineStr">
        <is>
          <t xml:space="preserve">98% хлопок, 2% эластан</t>
        </is>
      </c>
      <c r="J964"/>
      <c r="K964" t="inlineStr">
        <is>
          <t xml:space="preserve">Бангладеш</t>
        </is>
      </c>
      <c r="L964" t="inlineStr">
        <is>
          <t xml:space="preserve">6110209100</t>
        </is>
      </c>
      <c r="M964" t="inlineStr">
        <is>
          <t xml:space="preserve">Декларация № ЕАЭС № BY/112 11.01. ТР017 122.01 08246, до 19.04.2028</t>
        </is>
      </c>
      <c r="N964" t="inlineStr">
        <is>
          <t xml:space="preserve">37 × 27 × 2</t>
        </is>
      </c>
      <c r="O964" t="inlineStr">
        <is>
          <t xml:space="preserve">0,36</t>
        </is>
      </c>
      <c r="P964" t="inlineStr">
        <is>
          <t xml:space="preserve">4816148138255</t>
        </is>
      </c>
      <c r="Q964" s="3" t="str">
        <f>HYPERLINK("https://modify.by/img/258242612/1.webp","фото")</f>
        <v>фото</v>
      </c>
      <c r="R964" s="3" t="str">
        <f>HYPERLINK("https://modify.by/catalog/svitery/258242612/?utm_source=price&amp;utm_medium=xlsx","открыть")</f>
        <v>открыть</v>
      </c>
    </row>
    <row r="965">
      <c r="A965" t="inlineStr">
        <is>
          <t xml:space="preserve">Мужской</t>
        </is>
      </c>
      <c r="B965" t="inlineStr">
        <is>
          <t xml:space="preserve">Свитеры</t>
        </is>
      </c>
      <c r="C965" t="inlineStr">
        <is>
          <t xml:space="preserve">Джемпер классический офисный, светлый хаки</t>
        </is>
      </c>
      <c r="D965" t="inlineStr">
        <is>
          <t xml:space="preserve">SW42M04светлый хаки</t>
        </is>
      </c>
      <c r="E965" t="inlineStr">
        <is>
          <t xml:space="preserve">светлый хаки, светло-зеленый</t>
        </is>
      </c>
      <c r="F965" t="inlineStr">
        <is>
          <t xml:space="preserve">48</t>
        </is>
      </c>
      <c r="G965">
        <v>4</v>
      </c>
      <c r="H965" s="2">
        <v>27.0</v>
      </c>
      <c r="I965" t="inlineStr">
        <is>
          <t xml:space="preserve">98% хлопок, 2% эластан</t>
        </is>
      </c>
      <c r="J965"/>
      <c r="K965" t="inlineStr">
        <is>
          <t xml:space="preserve">Бангладеш</t>
        </is>
      </c>
      <c r="L965" t="inlineStr">
        <is>
          <t xml:space="preserve">6110209100</t>
        </is>
      </c>
      <c r="M965" t="inlineStr">
        <is>
          <t xml:space="preserve">Декларация № ЕАЭС № BY/112 11.01. ТР017 122.01 08246, до 19.04.2028</t>
        </is>
      </c>
      <c r="N965" t="inlineStr">
        <is>
          <t xml:space="preserve">37 × 27 × 2</t>
        </is>
      </c>
      <c r="O965" t="inlineStr">
        <is>
          <t xml:space="preserve">0,36</t>
        </is>
      </c>
      <c r="P965" t="inlineStr">
        <is>
          <t xml:space="preserve">4816148138262</t>
        </is>
      </c>
      <c r="Q965" s="3" t="str">
        <f>HYPERLINK("https://modify.by/img/258242612/1.webp","фото")</f>
        <v>фото</v>
      </c>
      <c r="R965" s="3" t="str">
        <f>HYPERLINK("https://modify.by/catalog/svitery/258242612/?utm_source=price&amp;utm_medium=xlsx","открыть")</f>
        <v>открыть</v>
      </c>
    </row>
    <row r="966">
      <c r="A966" t="inlineStr">
        <is>
          <t xml:space="preserve">Мужской</t>
        </is>
      </c>
      <c r="B966" t="inlineStr">
        <is>
          <t xml:space="preserve">Свитеры</t>
        </is>
      </c>
      <c r="C966" t="inlineStr">
        <is>
          <t xml:space="preserve">Джемпер классический офисный, светлый хаки</t>
        </is>
      </c>
      <c r="D966" t="inlineStr">
        <is>
          <t xml:space="preserve">SW42M04светлый хаки</t>
        </is>
      </c>
      <c r="E966" t="inlineStr">
        <is>
          <t xml:space="preserve">светлый хаки, светло-зеленый</t>
        </is>
      </c>
      <c r="F966" t="inlineStr">
        <is>
          <t xml:space="preserve">50</t>
        </is>
      </c>
      <c r="G966">
        <v>2</v>
      </c>
      <c r="H966" s="2">
        <v>27.0</v>
      </c>
      <c r="I966" t="inlineStr">
        <is>
          <t xml:space="preserve">98% хлопок, 2% эластан</t>
        </is>
      </c>
      <c r="J966"/>
      <c r="K966" t="inlineStr">
        <is>
          <t xml:space="preserve">Бангладеш</t>
        </is>
      </c>
      <c r="L966" t="inlineStr">
        <is>
          <t xml:space="preserve">6110209100</t>
        </is>
      </c>
      <c r="M966" t="inlineStr">
        <is>
          <t xml:space="preserve">Декларация № ЕАЭС № BY/112 11.01. ТР017 122.01 08246, до 19.04.2028</t>
        </is>
      </c>
      <c r="N966" t="inlineStr">
        <is>
          <t xml:space="preserve">37 × 27 × 2</t>
        </is>
      </c>
      <c r="O966" t="inlineStr">
        <is>
          <t xml:space="preserve">0,36</t>
        </is>
      </c>
      <c r="P966" t="inlineStr">
        <is>
          <t xml:space="preserve">4816148138279</t>
        </is>
      </c>
      <c r="Q966" s="3" t="str">
        <f>HYPERLINK("https://modify.by/img/258242612/1.webp","фото")</f>
        <v>фото</v>
      </c>
      <c r="R966" s="3" t="str">
        <f>HYPERLINK("https://modify.by/catalog/svitery/258242612/?utm_source=price&amp;utm_medium=xlsx","открыть")</f>
        <v>открыть</v>
      </c>
    </row>
    <row r="967">
      <c r="A967" t="inlineStr">
        <is>
          <t xml:space="preserve">Мужской</t>
        </is>
      </c>
      <c r="B967" t="inlineStr">
        <is>
          <t xml:space="preserve">Свитеры</t>
        </is>
      </c>
      <c r="C967" t="inlineStr">
        <is>
          <t xml:space="preserve">Джемпер классический офисный, хаки</t>
        </is>
      </c>
      <c r="D967" t="inlineStr">
        <is>
          <t xml:space="preserve">SW42M04хаки</t>
        </is>
      </c>
      <c r="E967" t="inlineStr">
        <is>
          <t xml:space="preserve">хаки, темно-оливковый</t>
        </is>
      </c>
      <c r="F967" t="inlineStr">
        <is>
          <t xml:space="preserve">48</t>
        </is>
      </c>
      <c r="G967">
        <v>2</v>
      </c>
      <c r="H967" s="2">
        <v>27.0</v>
      </c>
      <c r="I967" t="inlineStr">
        <is>
          <t xml:space="preserve">98% хлопок, 2% эластан</t>
        </is>
      </c>
      <c r="J967"/>
      <c r="K967" t="inlineStr">
        <is>
          <t xml:space="preserve">Бангладеш</t>
        </is>
      </c>
      <c r="L967" t="inlineStr">
        <is>
          <t xml:space="preserve">6110209100</t>
        </is>
      </c>
      <c r="M967" t="inlineStr">
        <is>
          <t xml:space="preserve">Декларация № ЕАЭС № BY/112 11.01. ТР017 122.01 08246, до 19.04.2028</t>
        </is>
      </c>
      <c r="N967" t="inlineStr">
        <is>
          <t xml:space="preserve">37 × 27 × 2</t>
        </is>
      </c>
      <c r="O967" t="inlineStr">
        <is>
          <t xml:space="preserve">0,36</t>
        </is>
      </c>
      <c r="P967" t="inlineStr">
        <is>
          <t xml:space="preserve">4816148138217</t>
        </is>
      </c>
      <c r="Q967" s="3" t="str">
        <f>HYPERLINK("https://modify.by/img/258242611/1.webp","фото")</f>
        <v>фото</v>
      </c>
      <c r="R967" s="3" t="str">
        <f>HYPERLINK("https://modify.by/catalog/svitery/258242611/?utm_source=price&amp;utm_medium=xlsx","открыть")</f>
        <v>открыть</v>
      </c>
    </row>
    <row r="968">
      <c r="A968" t="inlineStr">
        <is>
          <t xml:space="preserve">Мужской</t>
        </is>
      </c>
      <c r="B968" t="inlineStr">
        <is>
          <t xml:space="preserve">Свитеры</t>
        </is>
      </c>
      <c r="C968" t="inlineStr">
        <is>
          <t xml:space="preserve">Джемпер классический хлопковый с V-образным вырезом, горчичный</t>
        </is>
      </c>
      <c r="D968" t="inlineStr">
        <is>
          <t xml:space="preserve">SW62M05Горчичный</t>
        </is>
      </c>
      <c r="E968" t="inlineStr">
        <is>
          <t xml:space="preserve">горчичный</t>
        </is>
      </c>
      <c r="F968" t="inlineStr">
        <is>
          <t xml:space="preserve">46-48</t>
        </is>
      </c>
      <c r="G968">
        <v>6</v>
      </c>
      <c r="H968" s="2">
        <v>33.0</v>
      </c>
      <c r="I968" t="inlineStr">
        <is>
          <t xml:space="preserve">100% Хлопок</t>
        </is>
      </c>
      <c r="J968"/>
      <c r="K968" t="inlineStr">
        <is>
          <t xml:space="preserve">Бангладеш</t>
        </is>
      </c>
      <c r="L968" t="inlineStr">
        <is>
          <t xml:space="preserve">6110209100</t>
        </is>
      </c>
      <c r="M968" t="inlineStr">
        <is>
          <t xml:space="preserve">Декларация № ЕАЭС № BY/112 11.01. ТР017 122.01 08246, до 19.04.2028</t>
        </is>
      </c>
      <c r="N968" t="inlineStr">
        <is>
          <t xml:space="preserve">28 × 12 × 11</t>
        </is>
      </c>
      <c r="O968" t="inlineStr">
        <is>
          <t xml:space="preserve">0,51</t>
        </is>
      </c>
      <c r="P968" t="inlineStr">
        <is>
          <t xml:space="preserve">4816148185990</t>
        </is>
      </c>
      <c r="Q968" s="3" t="str">
        <f>HYPERLINK("https://modify.by/img/1559702839/1.webp","фото")</f>
        <v>фото</v>
      </c>
      <c r="R968" s="3" t="str">
        <f>HYPERLINK("https://modify.by/catalog/svitery/1559702839/?utm_source=price&amp;utm_medium=xlsx","открыть")</f>
        <v>открыть</v>
      </c>
    </row>
    <row r="969">
      <c r="A969" t="inlineStr">
        <is>
          <t xml:space="preserve">Мужской</t>
        </is>
      </c>
      <c r="B969" t="inlineStr">
        <is>
          <t xml:space="preserve">Свитеры</t>
        </is>
      </c>
      <c r="C969" t="inlineStr">
        <is>
          <t xml:space="preserve">Джемпер классический хлопковый с V-образным вырезом, горчичный</t>
        </is>
      </c>
      <c r="D969" t="inlineStr">
        <is>
          <t xml:space="preserve">SW62M05Горчичный</t>
        </is>
      </c>
      <c r="E969" t="inlineStr">
        <is>
          <t xml:space="preserve">горчичный</t>
        </is>
      </c>
      <c r="F969" t="inlineStr">
        <is>
          <t xml:space="preserve">48-50</t>
        </is>
      </c>
      <c r="G969">
        <v>4</v>
      </c>
      <c r="H969" s="2">
        <v>33.0</v>
      </c>
      <c r="I969" t="inlineStr">
        <is>
          <t xml:space="preserve">100% Хлопок</t>
        </is>
      </c>
      <c r="J969"/>
      <c r="K969" t="inlineStr">
        <is>
          <t xml:space="preserve">Бангладеш</t>
        </is>
      </c>
      <c r="L969" t="inlineStr">
        <is>
          <t xml:space="preserve">6110209100</t>
        </is>
      </c>
      <c r="M969" t="inlineStr">
        <is>
          <t xml:space="preserve">Декларация № ЕАЭС № BY/112 11.01. ТР017 122.01 08246, до 19.04.2028</t>
        </is>
      </c>
      <c r="N969" t="inlineStr">
        <is>
          <t xml:space="preserve">28 × 12 × 11</t>
        </is>
      </c>
      <c r="O969" t="inlineStr">
        <is>
          <t xml:space="preserve">0,51</t>
        </is>
      </c>
      <c r="P969" t="inlineStr">
        <is>
          <t xml:space="preserve">4816148186003</t>
        </is>
      </c>
      <c r="Q969" s="3" t="str">
        <f>HYPERLINK("https://modify.by/img/1559702839/1.webp","фото")</f>
        <v>фото</v>
      </c>
      <c r="R969" s="3" t="str">
        <f>HYPERLINK("https://modify.by/catalog/svitery/1559702839/?utm_source=price&amp;utm_medium=xlsx","открыть")</f>
        <v>открыть</v>
      </c>
    </row>
    <row r="970">
      <c r="A970" t="inlineStr">
        <is>
          <t xml:space="preserve">Мужской</t>
        </is>
      </c>
      <c r="B970" t="inlineStr">
        <is>
          <t xml:space="preserve">Свитеры</t>
        </is>
      </c>
      <c r="C970" t="inlineStr">
        <is>
          <t xml:space="preserve">Джемпер классический хлопковый с V-образным вырезом, горчичный</t>
        </is>
      </c>
      <c r="D970" t="inlineStr">
        <is>
          <t xml:space="preserve">SW62M05Горчичный</t>
        </is>
      </c>
      <c r="E970" t="inlineStr">
        <is>
          <t xml:space="preserve">горчичный</t>
        </is>
      </c>
      <c r="F970" t="inlineStr">
        <is>
          <t xml:space="preserve">50-52</t>
        </is>
      </c>
      <c r="G970">
        <v>14</v>
      </c>
      <c r="H970" s="2">
        <v>33.0</v>
      </c>
      <c r="I970" t="inlineStr">
        <is>
          <t xml:space="preserve">100% Хлопок</t>
        </is>
      </c>
      <c r="J970"/>
      <c r="K970" t="inlineStr">
        <is>
          <t xml:space="preserve">Бангладеш</t>
        </is>
      </c>
      <c r="L970" t="inlineStr">
        <is>
          <t xml:space="preserve">6110209100</t>
        </is>
      </c>
      <c r="M970" t="inlineStr">
        <is>
          <t xml:space="preserve">Декларация № ЕАЭС № BY/112 11.01. ТР017 122.01 08246, до 19.04.2028</t>
        </is>
      </c>
      <c r="N970" t="inlineStr">
        <is>
          <t xml:space="preserve">28 × 12 × 11</t>
        </is>
      </c>
      <c r="O970" t="inlineStr">
        <is>
          <t xml:space="preserve">0,51</t>
        </is>
      </c>
      <c r="P970" t="inlineStr">
        <is>
          <t xml:space="preserve">4816148186010</t>
        </is>
      </c>
      <c r="Q970" s="3" t="str">
        <f>HYPERLINK("https://modify.by/img/1559702839/1.webp","фото")</f>
        <v>фото</v>
      </c>
      <c r="R970" s="3" t="str">
        <f>HYPERLINK("https://modify.by/catalog/svitery/1559702839/?utm_source=price&amp;utm_medium=xlsx","открыть")</f>
        <v>открыть</v>
      </c>
    </row>
    <row r="971">
      <c r="A971" t="inlineStr">
        <is>
          <t xml:space="preserve">Мужской</t>
        </is>
      </c>
      <c r="B971" t="inlineStr">
        <is>
          <t xml:space="preserve">Свитеры</t>
        </is>
      </c>
      <c r="C971" t="inlineStr">
        <is>
          <t xml:space="preserve">Джемпер классический хлопковый с V-образным вырезом, горчичный</t>
        </is>
      </c>
      <c r="D971" t="inlineStr">
        <is>
          <t xml:space="preserve">SW62M05Горчичный</t>
        </is>
      </c>
      <c r="E971" t="inlineStr">
        <is>
          <t xml:space="preserve">горчичный</t>
        </is>
      </c>
      <c r="F971" t="inlineStr">
        <is>
          <t xml:space="preserve">52-54</t>
        </is>
      </c>
      <c r="G971">
        <v>10</v>
      </c>
      <c r="H971" s="2">
        <v>33.0</v>
      </c>
      <c r="I971" t="inlineStr">
        <is>
          <t xml:space="preserve">100% Хлопок</t>
        </is>
      </c>
      <c r="J971"/>
      <c r="K971" t="inlineStr">
        <is>
          <t xml:space="preserve">Бангладеш</t>
        </is>
      </c>
      <c r="L971" t="inlineStr">
        <is>
          <t xml:space="preserve">6110209100</t>
        </is>
      </c>
      <c r="M971" t="inlineStr">
        <is>
          <t xml:space="preserve">Декларация № ЕАЭС № BY/112 11.01. ТР017 122.01 08246, до 19.04.2028</t>
        </is>
      </c>
      <c r="N971" t="inlineStr">
        <is>
          <t xml:space="preserve">28 × 12 × 11</t>
        </is>
      </c>
      <c r="O971" t="inlineStr">
        <is>
          <t xml:space="preserve">0,51</t>
        </is>
      </c>
      <c r="P971" t="inlineStr">
        <is>
          <t xml:space="preserve">4816148186027</t>
        </is>
      </c>
      <c r="Q971" s="3" t="str">
        <f>HYPERLINK("https://modify.by/img/1559702839/1.webp","фото")</f>
        <v>фото</v>
      </c>
      <c r="R971" s="3" t="str">
        <f>HYPERLINK("https://modify.by/catalog/svitery/1559702839/?utm_source=price&amp;utm_medium=xlsx","открыть")</f>
        <v>открыть</v>
      </c>
    </row>
    <row r="972">
      <c r="A972" t="inlineStr">
        <is>
          <t xml:space="preserve">Мужской</t>
        </is>
      </c>
      <c r="B972" t="inlineStr">
        <is>
          <t xml:space="preserve">Свитеры</t>
        </is>
      </c>
      <c r="C972" t="inlineStr">
        <is>
          <t xml:space="preserve">Джемпер классический хлопковый с V-образным вырезом, желтый</t>
        </is>
      </c>
      <c r="D972" t="inlineStr">
        <is>
          <t xml:space="preserve">SW62M05Желтый</t>
        </is>
      </c>
      <c r="E972" t="inlineStr">
        <is>
          <t xml:space="preserve">желтый</t>
        </is>
      </c>
      <c r="F972" t="inlineStr">
        <is>
          <t xml:space="preserve">50-52</t>
        </is>
      </c>
      <c r="G972">
        <v>1</v>
      </c>
      <c r="H972" s="2">
        <v>33.0</v>
      </c>
      <c r="I972" t="inlineStr">
        <is>
          <t xml:space="preserve">100% Хлопок</t>
        </is>
      </c>
      <c r="J972"/>
      <c r="K972" t="inlineStr">
        <is>
          <t xml:space="preserve">Бангладеш</t>
        </is>
      </c>
      <c r="L972" t="inlineStr">
        <is>
          <t xml:space="preserve">6110209100</t>
        </is>
      </c>
      <c r="M972" t="inlineStr">
        <is>
          <t xml:space="preserve">Декларация № ЕАЭС № BY/112 11.01. ТР017 122.01 08246, до 19.04.2028</t>
        </is>
      </c>
      <c r="N972" t="inlineStr">
        <is>
          <t xml:space="preserve">28 × 12 × 11</t>
        </is>
      </c>
      <c r="O972" t="inlineStr">
        <is>
          <t xml:space="preserve">0,51</t>
        </is>
      </c>
      <c r="P972" t="inlineStr">
        <is>
          <t xml:space="preserve">4816148186072</t>
        </is>
      </c>
      <c r="Q972" s="3" t="str">
        <f>HYPERLINK("https://modify.by/img/1559702840/1.webp","фото")</f>
        <v>фото</v>
      </c>
      <c r="R972" s="3" t="str">
        <f>HYPERLINK("https://modify.by/catalog/svitery/1559702840/?utm_source=price&amp;utm_medium=xlsx","открыть")</f>
        <v>открыть</v>
      </c>
    </row>
    <row r="973">
      <c r="A973" t="inlineStr">
        <is>
          <t xml:space="preserve">Мужской</t>
        </is>
      </c>
      <c r="B973" t="inlineStr">
        <is>
          <t xml:space="preserve">Свитеры</t>
        </is>
      </c>
      <c r="C973" t="inlineStr">
        <is>
          <t xml:space="preserve">Джемпер классический хлопковый с V-образным вырезом, желтый</t>
        </is>
      </c>
      <c r="D973" t="inlineStr">
        <is>
          <t xml:space="preserve">SW62M05Желтый</t>
        </is>
      </c>
      <c r="E973" t="inlineStr">
        <is>
          <t xml:space="preserve">желтый</t>
        </is>
      </c>
      <c r="F973" t="inlineStr">
        <is>
          <t xml:space="preserve">54-56</t>
        </is>
      </c>
      <c r="G973">
        <v>1</v>
      </c>
      <c r="H973" s="2">
        <v>33.0</v>
      </c>
      <c r="I973" t="inlineStr">
        <is>
          <t xml:space="preserve">100% Хлопок</t>
        </is>
      </c>
      <c r="J973"/>
      <c r="K973" t="inlineStr">
        <is>
          <t xml:space="preserve">Бангладеш</t>
        </is>
      </c>
      <c r="L973" t="inlineStr">
        <is>
          <t xml:space="preserve">6110209100</t>
        </is>
      </c>
      <c r="M973" t="inlineStr">
        <is>
          <t xml:space="preserve">Декларация № ЕАЭС № BY/112 11.01. ТР017 122.01 08246, до 19.04.2028</t>
        </is>
      </c>
      <c r="N973" t="inlineStr">
        <is>
          <t xml:space="preserve">28 × 12 × 11</t>
        </is>
      </c>
      <c r="O973" t="inlineStr">
        <is>
          <t xml:space="preserve">0,51</t>
        </is>
      </c>
      <c r="P973" t="inlineStr">
        <is>
          <t xml:space="preserve">4816148186096</t>
        </is>
      </c>
      <c r="Q973" s="3" t="str">
        <f>HYPERLINK("https://modify.by/img/1559702840/1.webp","фото")</f>
        <v>фото</v>
      </c>
      <c r="R973" s="3" t="str">
        <f>HYPERLINK("https://modify.by/catalog/svitery/1559702840/?utm_source=price&amp;utm_medium=xlsx","открыть")</f>
        <v>открыть</v>
      </c>
    </row>
    <row r="974">
      <c r="A974" t="inlineStr">
        <is>
          <t xml:space="preserve">Мужской</t>
        </is>
      </c>
      <c r="B974" t="inlineStr">
        <is>
          <t xml:space="preserve">Свитеры</t>
        </is>
      </c>
      <c r="C974" t="inlineStr">
        <is>
          <t xml:space="preserve">Джемпер классический хлопковый с V-образным вырезом, желтый</t>
        </is>
      </c>
      <c r="D974" t="inlineStr">
        <is>
          <t xml:space="preserve">SW62M05Желтый</t>
        </is>
      </c>
      <c r="E974" t="inlineStr">
        <is>
          <t xml:space="preserve">желтый</t>
        </is>
      </c>
      <c r="F974" t="inlineStr">
        <is>
          <t xml:space="preserve">56-58</t>
        </is>
      </c>
      <c r="G974">
        <v>5</v>
      </c>
      <c r="H974" s="2">
        <v>33.0</v>
      </c>
      <c r="I974" t="inlineStr">
        <is>
          <t xml:space="preserve">100% Хлопок</t>
        </is>
      </c>
      <c r="J974"/>
      <c r="K974" t="inlineStr">
        <is>
          <t xml:space="preserve">Бангладеш</t>
        </is>
      </c>
      <c r="L974" t="inlineStr">
        <is>
          <t xml:space="preserve">6110209100</t>
        </is>
      </c>
      <c r="M974" t="inlineStr">
        <is>
          <t xml:space="preserve">Декларация № ЕАЭС № BY/112 11.01. ТР017 122.01 08246, до 19.04.2028</t>
        </is>
      </c>
      <c r="N974" t="inlineStr">
        <is>
          <t xml:space="preserve">28 × 12 × 11</t>
        </is>
      </c>
      <c r="O974" t="inlineStr">
        <is>
          <t xml:space="preserve">0,51</t>
        </is>
      </c>
      <c r="P974" t="inlineStr">
        <is>
          <t xml:space="preserve">4816148186102</t>
        </is>
      </c>
      <c r="Q974" s="3" t="str">
        <f>HYPERLINK("https://modify.by/img/1559702840/1.webp","фото")</f>
        <v>фото</v>
      </c>
      <c r="R974" s="3" t="str">
        <f>HYPERLINK("https://modify.by/catalog/svitery/1559702840/?utm_source=price&amp;utm_medium=xlsx","открыть")</f>
        <v>открыть</v>
      </c>
    </row>
    <row r="975">
      <c r="A975" t="inlineStr">
        <is>
          <t xml:space="preserve">Мужской</t>
        </is>
      </c>
      <c r="B975" t="inlineStr">
        <is>
          <t xml:space="preserve">Свитеры</t>
        </is>
      </c>
      <c r="C975" t="inlineStr">
        <is>
          <t xml:space="preserve">Джемпер классический хлопковый с V-образным вырезом, коричневый</t>
        </is>
      </c>
      <c r="D975" t="inlineStr">
        <is>
          <t xml:space="preserve">SW62M05Коричневый</t>
        </is>
      </c>
      <c r="E975" t="inlineStr">
        <is>
          <t xml:space="preserve">коричневый</t>
        </is>
      </c>
      <c r="F975" t="inlineStr">
        <is>
          <t xml:space="preserve">46-48</t>
        </is>
      </c>
      <c r="G975">
        <v>1</v>
      </c>
      <c r="H975" s="2">
        <v>33.0</v>
      </c>
      <c r="I975" t="inlineStr">
        <is>
          <t xml:space="preserve">100% Хлопок</t>
        </is>
      </c>
      <c r="J975"/>
      <c r="K975" t="inlineStr">
        <is>
          <t xml:space="preserve">Бангладеш</t>
        </is>
      </c>
      <c r="L975" t="inlineStr">
        <is>
          <t xml:space="preserve">6110209100</t>
        </is>
      </c>
      <c r="M975" t="inlineStr">
        <is>
          <t xml:space="preserve">Декларация № ЕАЭС № BY/112 11.01. ТР017 122.01 08246, до 19.04.2028</t>
        </is>
      </c>
      <c r="N975" t="inlineStr">
        <is>
          <t xml:space="preserve">28 × 12 × 11</t>
        </is>
      </c>
      <c r="O975" t="inlineStr">
        <is>
          <t xml:space="preserve">0,51</t>
        </is>
      </c>
      <c r="P975" t="inlineStr">
        <is>
          <t xml:space="preserve">4816148185815</t>
        </is>
      </c>
      <c r="Q975" s="3" t="str">
        <f>HYPERLINK("https://modify.by/img/1543971530/1.webp","фото")</f>
        <v>фото</v>
      </c>
      <c r="R975" s="3" t="str">
        <f>HYPERLINK("https://modify.by/catalog/svitery/1543971530/?utm_source=price&amp;utm_medium=xlsx","открыть")</f>
        <v>открыть</v>
      </c>
    </row>
    <row r="976">
      <c r="A976" t="inlineStr">
        <is>
          <t xml:space="preserve">Мужской</t>
        </is>
      </c>
      <c r="B976" t="inlineStr">
        <is>
          <t xml:space="preserve">Свитеры</t>
        </is>
      </c>
      <c r="C976" t="inlineStr">
        <is>
          <t xml:space="preserve">Джемпер классический хлопковый с V-образным вырезом, коричневый</t>
        </is>
      </c>
      <c r="D976" t="inlineStr">
        <is>
          <t xml:space="preserve">SW62M05Коричневый</t>
        </is>
      </c>
      <c r="E976" t="inlineStr">
        <is>
          <t xml:space="preserve">коричневый</t>
        </is>
      </c>
      <c r="F976" t="inlineStr">
        <is>
          <t xml:space="preserve">48-50</t>
        </is>
      </c>
      <c r="G976">
        <v>1</v>
      </c>
      <c r="H976" s="2">
        <v>33.0</v>
      </c>
      <c r="I976" t="inlineStr">
        <is>
          <t xml:space="preserve">100% Хлопок</t>
        </is>
      </c>
      <c r="J976"/>
      <c r="K976" t="inlineStr">
        <is>
          <t xml:space="preserve">Бангладеш</t>
        </is>
      </c>
      <c r="L976" t="inlineStr">
        <is>
          <t xml:space="preserve">6110209100</t>
        </is>
      </c>
      <c r="M976" t="inlineStr">
        <is>
          <t xml:space="preserve">Декларация № ЕАЭС № BY/112 11.01. ТР017 122.01 08246, до 19.04.2028</t>
        </is>
      </c>
      <c r="N976" t="inlineStr">
        <is>
          <t xml:space="preserve">28 × 12 × 11</t>
        </is>
      </c>
      <c r="O976" t="inlineStr">
        <is>
          <t xml:space="preserve">0,51</t>
        </is>
      </c>
      <c r="P976" t="inlineStr">
        <is>
          <t xml:space="preserve">4816148185822</t>
        </is>
      </c>
      <c r="Q976" s="3" t="str">
        <f>HYPERLINK("https://modify.by/img/1543971530/1.webp","фото")</f>
        <v>фото</v>
      </c>
      <c r="R976" s="3" t="str">
        <f>HYPERLINK("https://modify.by/catalog/svitery/1543971530/?utm_source=price&amp;utm_medium=xlsx","открыть")</f>
        <v>открыть</v>
      </c>
    </row>
    <row r="977">
      <c r="A977" t="inlineStr">
        <is>
          <t xml:space="preserve">Мужской</t>
        </is>
      </c>
      <c r="B977" t="inlineStr">
        <is>
          <t xml:space="preserve">Свитеры</t>
        </is>
      </c>
      <c r="C977" t="inlineStr">
        <is>
          <t xml:space="preserve">Джемпер классический хлопковый с V-образным вырезом, коричневый</t>
        </is>
      </c>
      <c r="D977" t="inlineStr">
        <is>
          <t xml:space="preserve">SW62M05Коричневый</t>
        </is>
      </c>
      <c r="E977" t="inlineStr">
        <is>
          <t xml:space="preserve">коричневый</t>
        </is>
      </c>
      <c r="F977" t="inlineStr">
        <is>
          <t xml:space="preserve">50-52</t>
        </is>
      </c>
      <c r="G977">
        <v>10</v>
      </c>
      <c r="H977" s="2">
        <v>33.0</v>
      </c>
      <c r="I977" t="inlineStr">
        <is>
          <t xml:space="preserve">100% Хлопок</t>
        </is>
      </c>
      <c r="J977"/>
      <c r="K977" t="inlineStr">
        <is>
          <t xml:space="preserve">Бангладеш</t>
        </is>
      </c>
      <c r="L977" t="inlineStr">
        <is>
          <t xml:space="preserve">6110209100</t>
        </is>
      </c>
      <c r="M977" t="inlineStr">
        <is>
          <t xml:space="preserve">Декларация № ЕАЭС № BY/112 11.01. ТР017 122.01 08246, до 19.04.2028</t>
        </is>
      </c>
      <c r="N977" t="inlineStr">
        <is>
          <t xml:space="preserve">28 × 12 × 11</t>
        </is>
      </c>
      <c r="O977" t="inlineStr">
        <is>
          <t xml:space="preserve">0,51</t>
        </is>
      </c>
      <c r="P977" t="inlineStr">
        <is>
          <t xml:space="preserve">4816148185839</t>
        </is>
      </c>
      <c r="Q977" s="3" t="str">
        <f>HYPERLINK("https://modify.by/img/1543971530/1.webp","фото")</f>
        <v>фото</v>
      </c>
      <c r="R977" s="3" t="str">
        <f>HYPERLINK("https://modify.by/catalog/svitery/1543971530/?utm_source=price&amp;utm_medium=xlsx","открыть")</f>
        <v>открыть</v>
      </c>
    </row>
    <row r="978">
      <c r="A978" t="inlineStr">
        <is>
          <t xml:space="preserve">Мужской</t>
        </is>
      </c>
      <c r="B978" t="inlineStr">
        <is>
          <t xml:space="preserve">Свитеры</t>
        </is>
      </c>
      <c r="C978" t="inlineStr">
        <is>
          <t xml:space="preserve">Джемпер классический хлопковый с V-образным вырезом, коричневый</t>
        </is>
      </c>
      <c r="D978" t="inlineStr">
        <is>
          <t xml:space="preserve">SW62M05Коричневый</t>
        </is>
      </c>
      <c r="E978" t="inlineStr">
        <is>
          <t xml:space="preserve">коричневый</t>
        </is>
      </c>
      <c r="F978" t="inlineStr">
        <is>
          <t xml:space="preserve">52-54</t>
        </is>
      </c>
      <c r="G978">
        <v>2</v>
      </c>
      <c r="H978" s="2">
        <v>33.0</v>
      </c>
      <c r="I978" t="inlineStr">
        <is>
          <t xml:space="preserve">100% Хлопок</t>
        </is>
      </c>
      <c r="J978"/>
      <c r="K978" t="inlineStr">
        <is>
          <t xml:space="preserve">Бангладеш</t>
        </is>
      </c>
      <c r="L978" t="inlineStr">
        <is>
          <t xml:space="preserve">6110209100</t>
        </is>
      </c>
      <c r="M978" t="inlineStr">
        <is>
          <t xml:space="preserve">Декларация № ЕАЭС № BY/112 11.01. ТР017 122.01 08246, до 19.04.2028</t>
        </is>
      </c>
      <c r="N978" t="inlineStr">
        <is>
          <t xml:space="preserve">28 × 12 × 11</t>
        </is>
      </c>
      <c r="O978" t="inlineStr">
        <is>
          <t xml:space="preserve">0,51</t>
        </is>
      </c>
      <c r="P978" t="inlineStr">
        <is>
          <t xml:space="preserve">4816148185846</t>
        </is>
      </c>
      <c r="Q978" s="3" t="str">
        <f>HYPERLINK("https://modify.by/img/1543971530/1.webp","фото")</f>
        <v>фото</v>
      </c>
      <c r="R978" s="3" t="str">
        <f>HYPERLINK("https://modify.by/catalog/svitery/1543971530/?utm_source=price&amp;utm_medium=xlsx","открыть")</f>
        <v>открыть</v>
      </c>
    </row>
    <row r="979">
      <c r="A979" t="inlineStr">
        <is>
          <t xml:space="preserve">Мужской</t>
        </is>
      </c>
      <c r="B979" t="inlineStr">
        <is>
          <t xml:space="preserve">Свитеры</t>
        </is>
      </c>
      <c r="C979" t="inlineStr">
        <is>
          <t xml:space="preserve">Джемпер классический хлопковый с V-образным вырезом, коричневый</t>
        </is>
      </c>
      <c r="D979" t="inlineStr">
        <is>
          <t xml:space="preserve">SW62M05Коричневый</t>
        </is>
      </c>
      <c r="E979" t="inlineStr">
        <is>
          <t xml:space="preserve">коричневый</t>
        </is>
      </c>
      <c r="F979" t="inlineStr">
        <is>
          <t xml:space="preserve">54-56</t>
        </is>
      </c>
      <c r="G979">
        <v>10</v>
      </c>
      <c r="H979" s="2">
        <v>33.0</v>
      </c>
      <c r="I979" t="inlineStr">
        <is>
          <t xml:space="preserve">100% Хлопок</t>
        </is>
      </c>
      <c r="J979"/>
      <c r="K979" t="inlineStr">
        <is>
          <t xml:space="preserve">Бангладеш</t>
        </is>
      </c>
      <c r="L979" t="inlineStr">
        <is>
          <t xml:space="preserve">6110209100</t>
        </is>
      </c>
      <c r="M979" t="inlineStr">
        <is>
          <t xml:space="preserve">Декларация № ЕАЭС № BY/112 11.01. ТР017 122.01 08246, до 19.04.2028</t>
        </is>
      </c>
      <c r="N979" t="inlineStr">
        <is>
          <t xml:space="preserve">28 × 12 × 11</t>
        </is>
      </c>
      <c r="O979" t="inlineStr">
        <is>
          <t xml:space="preserve">0,51</t>
        </is>
      </c>
      <c r="P979" t="inlineStr">
        <is>
          <t xml:space="preserve">4816148185853</t>
        </is>
      </c>
      <c r="Q979" s="3" t="str">
        <f>HYPERLINK("https://modify.by/img/1543971530/1.webp","фото")</f>
        <v>фото</v>
      </c>
      <c r="R979" s="3" t="str">
        <f>HYPERLINK("https://modify.by/catalog/svitery/1543971530/?utm_source=price&amp;utm_medium=xlsx","открыть")</f>
        <v>открыть</v>
      </c>
    </row>
    <row r="980">
      <c r="A980" t="inlineStr">
        <is>
          <t xml:space="preserve">Мужской</t>
        </is>
      </c>
      <c r="B980" t="inlineStr">
        <is>
          <t xml:space="preserve">Свитеры</t>
        </is>
      </c>
      <c r="C980" t="inlineStr">
        <is>
          <t xml:space="preserve">Джемпер классический хлопковый с V-образным вырезом, коричневый</t>
        </is>
      </c>
      <c r="D980" t="inlineStr">
        <is>
          <t xml:space="preserve">SW62M05Коричневый</t>
        </is>
      </c>
      <c r="E980" t="inlineStr">
        <is>
          <t xml:space="preserve">коричневый</t>
        </is>
      </c>
      <c r="F980" t="inlineStr">
        <is>
          <t xml:space="preserve">56-58</t>
        </is>
      </c>
      <c r="G980">
        <v>1</v>
      </c>
      <c r="H980" s="2">
        <v>33.0</v>
      </c>
      <c r="I980" t="inlineStr">
        <is>
          <t xml:space="preserve">100% Хлопок</t>
        </is>
      </c>
      <c r="J980"/>
      <c r="K980" t="inlineStr">
        <is>
          <t xml:space="preserve">Бангладеш</t>
        </is>
      </c>
      <c r="L980" t="inlineStr">
        <is>
          <t xml:space="preserve">6110209100</t>
        </is>
      </c>
      <c r="M980" t="inlineStr">
        <is>
          <t xml:space="preserve">Декларация № ЕАЭС № BY/112 11.01. ТР017 122.01 08246, до 19.04.2028</t>
        </is>
      </c>
      <c r="N980" t="inlineStr">
        <is>
          <t xml:space="preserve">28 × 12 × 11</t>
        </is>
      </c>
      <c r="O980" t="inlineStr">
        <is>
          <t xml:space="preserve">0,51</t>
        </is>
      </c>
      <c r="P980" t="inlineStr">
        <is>
          <t xml:space="preserve">4816148185860</t>
        </is>
      </c>
      <c r="Q980" s="3" t="str">
        <f>HYPERLINK("https://modify.by/img/1543971530/1.webp","фото")</f>
        <v>фото</v>
      </c>
      <c r="R980" s="3" t="str">
        <f>HYPERLINK("https://modify.by/catalog/svitery/1543971530/?utm_source=price&amp;utm_medium=xlsx","открыть")</f>
        <v>открыть</v>
      </c>
    </row>
    <row r="981">
      <c r="A981" t="inlineStr">
        <is>
          <t xml:space="preserve">Мужской</t>
        </is>
      </c>
      <c r="B981" t="inlineStr">
        <is>
          <t xml:space="preserve">Свитеры</t>
        </is>
      </c>
      <c r="C981" t="inlineStr">
        <is>
          <t xml:space="preserve">Джемпер классический хлопковый с V-образным вырезом, морская волна</t>
        </is>
      </c>
      <c r="D981" t="inlineStr">
        <is>
          <t xml:space="preserve">SW62M05Морскаяволна</t>
        </is>
      </c>
      <c r="E981" t="inlineStr">
        <is>
          <t xml:space="preserve">морская волна</t>
        </is>
      </c>
      <c r="F981" t="inlineStr">
        <is>
          <t xml:space="preserve">48-50</t>
        </is>
      </c>
      <c r="G981">
        <v>4</v>
      </c>
      <c r="H981" s="2">
        <v>33.0</v>
      </c>
      <c r="I981" t="inlineStr">
        <is>
          <t xml:space="preserve">100% Хлопок</t>
        </is>
      </c>
      <c r="J981"/>
      <c r="K981" t="inlineStr">
        <is>
          <t xml:space="preserve">Бангладеш</t>
        </is>
      </c>
      <c r="L981" t="inlineStr">
        <is>
          <t xml:space="preserve">6110209100</t>
        </is>
      </c>
      <c r="M981" t="inlineStr">
        <is>
          <t xml:space="preserve">Декларация № ЕАЭС № BY/112 11.01. ТР017 122.01 08246, до 19.04.2028</t>
        </is>
      </c>
      <c r="N981" t="inlineStr">
        <is>
          <t xml:space="preserve">28 × 12 × 11</t>
        </is>
      </c>
      <c r="O981" t="inlineStr">
        <is>
          <t xml:space="preserve">0,51</t>
        </is>
      </c>
      <c r="P981" t="inlineStr">
        <is>
          <t xml:space="preserve">4816148185945</t>
        </is>
      </c>
      <c r="Q981" s="3" t="str">
        <f>HYPERLINK("https://modify.by/img/1559702838/1.webp","фото")</f>
        <v>фото</v>
      </c>
      <c r="R981" s="3" t="str">
        <f>HYPERLINK("https://modify.by/catalog/svitery/1559702838/?utm_source=price&amp;utm_medium=xlsx","открыть")</f>
        <v>открыть</v>
      </c>
    </row>
    <row r="982">
      <c r="A982" t="inlineStr">
        <is>
          <t xml:space="preserve">Мужской</t>
        </is>
      </c>
      <c r="B982" t="inlineStr">
        <is>
          <t xml:space="preserve">Свитеры</t>
        </is>
      </c>
      <c r="C982" t="inlineStr">
        <is>
          <t xml:space="preserve">Джемпер классический хлопковый с V-образным вырезом, морская волна</t>
        </is>
      </c>
      <c r="D982" t="inlineStr">
        <is>
          <t xml:space="preserve">SW62M05Морскаяволна</t>
        </is>
      </c>
      <c r="E982" t="inlineStr">
        <is>
          <t xml:space="preserve">морская волна</t>
        </is>
      </c>
      <c r="F982" t="inlineStr">
        <is>
          <t xml:space="preserve">50-52</t>
        </is>
      </c>
      <c r="G982">
        <v>40</v>
      </c>
      <c r="H982" s="2">
        <v>33.0</v>
      </c>
      <c r="I982" t="inlineStr">
        <is>
          <t xml:space="preserve">100% Хлопок</t>
        </is>
      </c>
      <c r="J982"/>
      <c r="K982" t="inlineStr">
        <is>
          <t xml:space="preserve">Бангладеш</t>
        </is>
      </c>
      <c r="L982" t="inlineStr">
        <is>
          <t xml:space="preserve">6110209100</t>
        </is>
      </c>
      <c r="M982" t="inlineStr">
        <is>
          <t xml:space="preserve">Декларация № ЕАЭС № BY/112 11.01. ТР017 122.01 08246, до 19.04.2028</t>
        </is>
      </c>
      <c r="N982" t="inlineStr">
        <is>
          <t xml:space="preserve">28 × 12 × 11</t>
        </is>
      </c>
      <c r="O982" t="inlineStr">
        <is>
          <t xml:space="preserve">0,51</t>
        </is>
      </c>
      <c r="P982" t="inlineStr">
        <is>
          <t xml:space="preserve">4816148185952</t>
        </is>
      </c>
      <c r="Q982" s="3" t="str">
        <f>HYPERLINK("https://modify.by/img/1559702838/1.webp","фото")</f>
        <v>фото</v>
      </c>
      <c r="R982" s="3" t="str">
        <f>HYPERLINK("https://modify.by/catalog/svitery/1559702838/?utm_source=price&amp;utm_medium=xlsx","открыть")</f>
        <v>открыть</v>
      </c>
    </row>
    <row r="983">
      <c r="A983" t="inlineStr">
        <is>
          <t xml:space="preserve">Мужской</t>
        </is>
      </c>
      <c r="B983" t="inlineStr">
        <is>
          <t xml:space="preserve">Свитеры</t>
        </is>
      </c>
      <c r="C983" t="inlineStr">
        <is>
          <t xml:space="preserve">Джемпер классический хлопковый с V-образным вырезом, морская волна</t>
        </is>
      </c>
      <c r="D983" t="inlineStr">
        <is>
          <t xml:space="preserve">SW62M05Морскаяволна</t>
        </is>
      </c>
      <c r="E983" t="inlineStr">
        <is>
          <t xml:space="preserve">морская волна</t>
        </is>
      </c>
      <c r="F983" t="inlineStr">
        <is>
          <t xml:space="preserve">52-54</t>
        </is>
      </c>
      <c r="G983">
        <v>10</v>
      </c>
      <c r="H983" s="2">
        <v>33.0</v>
      </c>
      <c r="I983" t="inlineStr">
        <is>
          <t xml:space="preserve">100% Хлопок</t>
        </is>
      </c>
      <c r="J983"/>
      <c r="K983" t="inlineStr">
        <is>
          <t xml:space="preserve">Бангладеш</t>
        </is>
      </c>
      <c r="L983" t="inlineStr">
        <is>
          <t xml:space="preserve">6110209100</t>
        </is>
      </c>
      <c r="M983" t="inlineStr">
        <is>
          <t xml:space="preserve">Декларация № ЕАЭС № BY/112 11.01. ТР017 122.01 08246, до 19.04.2028</t>
        </is>
      </c>
      <c r="N983" t="inlineStr">
        <is>
          <t xml:space="preserve">28 × 12 × 11</t>
        </is>
      </c>
      <c r="O983" t="inlineStr">
        <is>
          <t xml:space="preserve">0,51</t>
        </is>
      </c>
      <c r="P983" t="inlineStr">
        <is>
          <t xml:space="preserve">4816148185969</t>
        </is>
      </c>
      <c r="Q983" s="3" t="str">
        <f>HYPERLINK("https://modify.by/img/1559702838/1.webp","фото")</f>
        <v>фото</v>
      </c>
      <c r="R983" s="3" t="str">
        <f>HYPERLINK("https://modify.by/catalog/svitery/1559702838/?utm_source=price&amp;utm_medium=xlsx","открыть")</f>
        <v>открыть</v>
      </c>
    </row>
    <row r="984">
      <c r="A984" t="inlineStr">
        <is>
          <t xml:space="preserve">Мужской</t>
        </is>
      </c>
      <c r="B984" t="inlineStr">
        <is>
          <t xml:space="preserve">Свитеры</t>
        </is>
      </c>
      <c r="C984" t="inlineStr">
        <is>
          <t xml:space="preserve">Джемпер классический хлопковый с V-образным вырезом, морская волна</t>
        </is>
      </c>
      <c r="D984" t="inlineStr">
        <is>
          <t xml:space="preserve">SW62M05Морскаяволна</t>
        </is>
      </c>
      <c r="E984" t="inlineStr">
        <is>
          <t xml:space="preserve">морская волна</t>
        </is>
      </c>
      <c r="F984" t="inlineStr">
        <is>
          <t xml:space="preserve">54-56</t>
        </is>
      </c>
      <c r="G984">
        <v>11</v>
      </c>
      <c r="H984" s="2">
        <v>33.0</v>
      </c>
      <c r="I984" t="inlineStr">
        <is>
          <t xml:space="preserve">100% Хлопок</t>
        </is>
      </c>
      <c r="J984"/>
      <c r="K984" t="inlineStr">
        <is>
          <t xml:space="preserve">Бангладеш</t>
        </is>
      </c>
      <c r="L984" t="inlineStr">
        <is>
          <t xml:space="preserve">6110209100</t>
        </is>
      </c>
      <c r="M984" t="inlineStr">
        <is>
          <t xml:space="preserve">Декларация № ЕАЭС № BY/112 11.01. ТР017 122.01 08246, до 19.04.2028</t>
        </is>
      </c>
      <c r="N984" t="inlineStr">
        <is>
          <t xml:space="preserve">28 × 12 × 11</t>
        </is>
      </c>
      <c r="O984" t="inlineStr">
        <is>
          <t xml:space="preserve">0,51</t>
        </is>
      </c>
      <c r="P984" t="inlineStr">
        <is>
          <t xml:space="preserve">4816148185976</t>
        </is>
      </c>
      <c r="Q984" s="3" t="str">
        <f>HYPERLINK("https://modify.by/img/1559702838/1.webp","фото")</f>
        <v>фото</v>
      </c>
      <c r="R984" s="3" t="str">
        <f>HYPERLINK("https://modify.by/catalog/svitery/1559702838/?utm_source=price&amp;utm_medium=xlsx","открыть")</f>
        <v>открыть</v>
      </c>
    </row>
    <row r="985">
      <c r="A985" t="inlineStr">
        <is>
          <t xml:space="preserve">Мужской</t>
        </is>
      </c>
      <c r="B985" t="inlineStr">
        <is>
          <t xml:space="preserve">Свитеры</t>
        </is>
      </c>
      <c r="C985" t="inlineStr">
        <is>
          <t xml:space="preserve">Джемпер классический хлопковый с V-образным вырезом, морская волна</t>
        </is>
      </c>
      <c r="D985" t="inlineStr">
        <is>
          <t xml:space="preserve">SW62M05Морскаяволна</t>
        </is>
      </c>
      <c r="E985" t="inlineStr">
        <is>
          <t xml:space="preserve">морская волна</t>
        </is>
      </c>
      <c r="F985" t="inlineStr">
        <is>
          <t xml:space="preserve">56-58</t>
        </is>
      </c>
      <c r="G985">
        <v>9</v>
      </c>
      <c r="H985" s="2">
        <v>33.0</v>
      </c>
      <c r="I985" t="inlineStr">
        <is>
          <t xml:space="preserve">100% Хлопок</t>
        </is>
      </c>
      <c r="J985"/>
      <c r="K985" t="inlineStr">
        <is>
          <t xml:space="preserve">Бангладеш</t>
        </is>
      </c>
      <c r="L985" t="inlineStr">
        <is>
          <t xml:space="preserve">6110209100</t>
        </is>
      </c>
      <c r="M985" t="inlineStr">
        <is>
          <t xml:space="preserve">Декларация № ЕАЭС № BY/112 11.01. ТР017 122.01 08246, до 19.04.2028</t>
        </is>
      </c>
      <c r="N985" t="inlineStr">
        <is>
          <t xml:space="preserve">28 × 12 × 11</t>
        </is>
      </c>
      <c r="O985" t="inlineStr">
        <is>
          <t xml:space="preserve">0,51</t>
        </is>
      </c>
      <c r="P985" t="inlineStr">
        <is>
          <t xml:space="preserve">4816148185983</t>
        </is>
      </c>
      <c r="Q985" s="3" t="str">
        <f>HYPERLINK("https://modify.by/img/1559702838/1.webp","фото")</f>
        <v>фото</v>
      </c>
      <c r="R985" s="3" t="str">
        <f>HYPERLINK("https://modify.by/catalog/svitery/1559702838/?utm_source=price&amp;utm_medium=xlsx","открыть")</f>
        <v>открыть</v>
      </c>
    </row>
    <row r="986">
      <c r="A986" t="inlineStr">
        <is>
          <t xml:space="preserve">Мужской</t>
        </is>
      </c>
      <c r="B986" t="inlineStr">
        <is>
          <t xml:space="preserve">Свитеры</t>
        </is>
      </c>
      <c r="C986" t="inlineStr">
        <is>
          <t xml:space="preserve">Джемпер классический хлопковый с V-образным вырезом, охра</t>
        </is>
      </c>
      <c r="D986" t="inlineStr">
        <is>
          <t xml:space="preserve">SW62M05Охра</t>
        </is>
      </c>
      <c r="E986" t="inlineStr">
        <is>
          <t xml:space="preserve">охра</t>
        </is>
      </c>
      <c r="F986" t="inlineStr">
        <is>
          <t xml:space="preserve">44-46</t>
        </is>
      </c>
      <c r="G986">
        <v>2</v>
      </c>
      <c r="H986" s="2">
        <v>33.0</v>
      </c>
      <c r="I986" t="inlineStr">
        <is>
          <t xml:space="preserve">100% Хлопок</t>
        </is>
      </c>
      <c r="J986"/>
      <c r="K986" t="inlineStr">
        <is>
          <t xml:space="preserve">Бангладеш</t>
        </is>
      </c>
      <c r="L986" t="inlineStr">
        <is>
          <t xml:space="preserve">6110209100</t>
        </is>
      </c>
      <c r="M986" t="inlineStr">
        <is>
          <t xml:space="preserve">Декларация № ЕАЭС № BY/112 11.01. ТР017 122.01 08246, до 19.04.2028</t>
        </is>
      </c>
      <c r="N986" t="inlineStr">
        <is>
          <t xml:space="preserve">28 × 12 × 11</t>
        </is>
      </c>
      <c r="O986" t="inlineStr">
        <is>
          <t xml:space="preserve">0,51</t>
        </is>
      </c>
      <c r="P986" t="inlineStr">
        <is>
          <t xml:space="preserve">4816148185730</t>
        </is>
      </c>
      <c r="Q986" s="3" t="str">
        <f>HYPERLINK("https://modify.by/img/1543971529/1.webp","фото")</f>
        <v>фото</v>
      </c>
      <c r="R986" s="3" t="str">
        <f>HYPERLINK("https://modify.by/catalog/svitery/1543971529/?utm_source=price&amp;utm_medium=xlsx","открыть")</f>
        <v>открыть</v>
      </c>
    </row>
    <row r="987">
      <c r="A987" t="inlineStr">
        <is>
          <t xml:space="preserve">Мужской</t>
        </is>
      </c>
      <c r="B987" t="inlineStr">
        <is>
          <t xml:space="preserve">Свитеры</t>
        </is>
      </c>
      <c r="C987" t="inlineStr">
        <is>
          <t xml:space="preserve">Джемпер классический хлопковый с V-образным вырезом, охра</t>
        </is>
      </c>
      <c r="D987" t="inlineStr">
        <is>
          <t xml:space="preserve">SW62M05Охра</t>
        </is>
      </c>
      <c r="E987" t="inlineStr">
        <is>
          <t xml:space="preserve">охра</t>
        </is>
      </c>
      <c r="F987" t="inlineStr">
        <is>
          <t xml:space="preserve">46-48</t>
        </is>
      </c>
      <c r="G987">
        <v>2</v>
      </c>
      <c r="H987" s="2">
        <v>33.0</v>
      </c>
      <c r="I987" t="inlineStr">
        <is>
          <t xml:space="preserve">100% Хлопок</t>
        </is>
      </c>
      <c r="J987"/>
      <c r="K987" t="inlineStr">
        <is>
          <t xml:space="preserve">Бангладеш</t>
        </is>
      </c>
      <c r="L987" t="inlineStr">
        <is>
          <t xml:space="preserve">6110209100</t>
        </is>
      </c>
      <c r="M987" t="inlineStr">
        <is>
          <t xml:space="preserve">Декларация № ЕАЭС № BY/112 11.01. ТР017 122.01 08246, до 19.04.2028</t>
        </is>
      </c>
      <c r="N987" t="inlineStr">
        <is>
          <t xml:space="preserve">28 × 12 × 11</t>
        </is>
      </c>
      <c r="O987" t="inlineStr">
        <is>
          <t xml:space="preserve">0,51</t>
        </is>
      </c>
      <c r="P987" t="inlineStr">
        <is>
          <t xml:space="preserve">4816148185747</t>
        </is>
      </c>
      <c r="Q987" s="3" t="str">
        <f>HYPERLINK("https://modify.by/img/1543971529/1.webp","фото")</f>
        <v>фото</v>
      </c>
      <c r="R987" s="3" t="str">
        <f>HYPERLINK("https://modify.by/catalog/svitery/1543971529/?utm_source=price&amp;utm_medium=xlsx","открыть")</f>
        <v>открыть</v>
      </c>
    </row>
    <row r="988">
      <c r="A988" t="inlineStr">
        <is>
          <t xml:space="preserve">Мужской</t>
        </is>
      </c>
      <c r="B988" t="inlineStr">
        <is>
          <t xml:space="preserve">Свитеры</t>
        </is>
      </c>
      <c r="C988" t="inlineStr">
        <is>
          <t xml:space="preserve">Джемпер классический хлопковый с V-образным вырезом, охра</t>
        </is>
      </c>
      <c r="D988" t="inlineStr">
        <is>
          <t xml:space="preserve">SW62M05Охра</t>
        </is>
      </c>
      <c r="E988" t="inlineStr">
        <is>
          <t xml:space="preserve">охра</t>
        </is>
      </c>
      <c r="F988" t="inlineStr">
        <is>
          <t xml:space="preserve">48-50</t>
        </is>
      </c>
      <c r="G988">
        <v>7</v>
      </c>
      <c r="H988" s="2">
        <v>33.0</v>
      </c>
      <c r="I988" t="inlineStr">
        <is>
          <t xml:space="preserve">100% Хлопок</t>
        </is>
      </c>
      <c r="J988"/>
      <c r="K988" t="inlineStr">
        <is>
          <t xml:space="preserve">Бангладеш</t>
        </is>
      </c>
      <c r="L988" t="inlineStr">
        <is>
          <t xml:space="preserve">6110209100</t>
        </is>
      </c>
      <c r="M988" t="inlineStr">
        <is>
          <t xml:space="preserve">Декларация № ЕАЭС № BY/112 11.01. ТР017 122.01 08246, до 19.04.2028</t>
        </is>
      </c>
      <c r="N988" t="inlineStr">
        <is>
          <t xml:space="preserve">28 × 12 × 11</t>
        </is>
      </c>
      <c r="O988" t="inlineStr">
        <is>
          <t xml:space="preserve">0,51</t>
        </is>
      </c>
      <c r="P988" t="inlineStr">
        <is>
          <t xml:space="preserve">4816148185754</t>
        </is>
      </c>
      <c r="Q988" s="3" t="str">
        <f>HYPERLINK("https://modify.by/img/1543971529/1.webp","фото")</f>
        <v>фото</v>
      </c>
      <c r="R988" s="3" t="str">
        <f>HYPERLINK("https://modify.by/catalog/svitery/1543971529/?utm_source=price&amp;utm_medium=xlsx","открыть")</f>
        <v>открыть</v>
      </c>
    </row>
    <row r="989">
      <c r="A989" t="inlineStr">
        <is>
          <t xml:space="preserve">Мужской</t>
        </is>
      </c>
      <c r="B989" t="inlineStr">
        <is>
          <t xml:space="preserve">Свитеры</t>
        </is>
      </c>
      <c r="C989" t="inlineStr">
        <is>
          <t xml:space="preserve">Джемпер классический хлопковый с V-образным вырезом, охра</t>
        </is>
      </c>
      <c r="D989" t="inlineStr">
        <is>
          <t xml:space="preserve">SW62M05Охра</t>
        </is>
      </c>
      <c r="E989" t="inlineStr">
        <is>
          <t xml:space="preserve">охра</t>
        </is>
      </c>
      <c r="F989" t="inlineStr">
        <is>
          <t xml:space="preserve">50-52</t>
        </is>
      </c>
      <c r="G989">
        <v>14</v>
      </c>
      <c r="H989" s="2">
        <v>33.0</v>
      </c>
      <c r="I989" t="inlineStr">
        <is>
          <t xml:space="preserve">100% Хлопок</t>
        </is>
      </c>
      <c r="J989"/>
      <c r="K989" t="inlineStr">
        <is>
          <t xml:space="preserve">Бангладеш</t>
        </is>
      </c>
      <c r="L989" t="inlineStr">
        <is>
          <t xml:space="preserve">6110209100</t>
        </is>
      </c>
      <c r="M989" t="inlineStr">
        <is>
          <t xml:space="preserve">Декларация № ЕАЭС № BY/112 11.01. ТР017 122.01 08246, до 19.04.2028</t>
        </is>
      </c>
      <c r="N989" t="inlineStr">
        <is>
          <t xml:space="preserve">28 × 12 × 11</t>
        </is>
      </c>
      <c r="O989" t="inlineStr">
        <is>
          <t xml:space="preserve">0,51</t>
        </is>
      </c>
      <c r="P989" t="inlineStr">
        <is>
          <t xml:space="preserve">4816148185761</t>
        </is>
      </c>
      <c r="Q989" s="3" t="str">
        <f>HYPERLINK("https://modify.by/img/1543971529/1.webp","фото")</f>
        <v>фото</v>
      </c>
      <c r="R989" s="3" t="str">
        <f>HYPERLINK("https://modify.by/catalog/svitery/1543971529/?utm_source=price&amp;utm_medium=xlsx","открыть")</f>
        <v>открыть</v>
      </c>
    </row>
    <row r="990">
      <c r="A990" t="inlineStr">
        <is>
          <t xml:space="preserve">Мужской</t>
        </is>
      </c>
      <c r="B990" t="inlineStr">
        <is>
          <t xml:space="preserve">Свитеры</t>
        </is>
      </c>
      <c r="C990" t="inlineStr">
        <is>
          <t xml:space="preserve">Джемпер классический хлопковый с V-образным вырезом, охра</t>
        </is>
      </c>
      <c r="D990" t="inlineStr">
        <is>
          <t xml:space="preserve">SW62M05Охра</t>
        </is>
      </c>
      <c r="E990" t="inlineStr">
        <is>
          <t xml:space="preserve">охра</t>
        </is>
      </c>
      <c r="F990" t="inlineStr">
        <is>
          <t xml:space="preserve">52-54</t>
        </is>
      </c>
      <c r="G990">
        <v>2</v>
      </c>
      <c r="H990" s="2">
        <v>33.0</v>
      </c>
      <c r="I990" t="inlineStr">
        <is>
          <t xml:space="preserve">100% Хлопок</t>
        </is>
      </c>
      <c r="J990"/>
      <c r="K990" t="inlineStr">
        <is>
          <t xml:space="preserve">Бангладеш</t>
        </is>
      </c>
      <c r="L990" t="inlineStr">
        <is>
          <t xml:space="preserve">6110209100</t>
        </is>
      </c>
      <c r="M990" t="inlineStr">
        <is>
          <t xml:space="preserve">Декларация № ЕАЭС № BY/112 11.01. ТР017 122.01 08246, до 19.04.2028</t>
        </is>
      </c>
      <c r="N990" t="inlineStr">
        <is>
          <t xml:space="preserve">28 × 12 × 11</t>
        </is>
      </c>
      <c r="O990" t="inlineStr">
        <is>
          <t xml:space="preserve">0,51</t>
        </is>
      </c>
      <c r="P990" t="inlineStr">
        <is>
          <t xml:space="preserve">4816148185778</t>
        </is>
      </c>
      <c r="Q990" s="3" t="str">
        <f>HYPERLINK("https://modify.by/img/1543971529/1.webp","фото")</f>
        <v>фото</v>
      </c>
      <c r="R990" s="3" t="str">
        <f>HYPERLINK("https://modify.by/catalog/svitery/1543971529/?utm_source=price&amp;utm_medium=xlsx","открыть")</f>
        <v>открыть</v>
      </c>
    </row>
    <row r="991">
      <c r="A991" t="inlineStr">
        <is>
          <t xml:space="preserve">Мужской</t>
        </is>
      </c>
      <c r="B991" t="inlineStr">
        <is>
          <t xml:space="preserve">Свитеры</t>
        </is>
      </c>
      <c r="C991" t="inlineStr">
        <is>
          <t xml:space="preserve">Джемпер классический хлопковый с V-образным вырезом, охра</t>
        </is>
      </c>
      <c r="D991" t="inlineStr">
        <is>
          <t xml:space="preserve">SW62M05Охра</t>
        </is>
      </c>
      <c r="E991" t="inlineStr">
        <is>
          <t xml:space="preserve">охра</t>
        </is>
      </c>
      <c r="F991" t="inlineStr">
        <is>
          <t xml:space="preserve">54-56</t>
        </is>
      </c>
      <c r="G991">
        <v>1</v>
      </c>
      <c r="H991" s="2">
        <v>33.0</v>
      </c>
      <c r="I991" t="inlineStr">
        <is>
          <t xml:space="preserve">100% Хлопок</t>
        </is>
      </c>
      <c r="J991"/>
      <c r="K991" t="inlineStr">
        <is>
          <t xml:space="preserve">Бангладеш</t>
        </is>
      </c>
      <c r="L991" t="inlineStr">
        <is>
          <t xml:space="preserve">6110209100</t>
        </is>
      </c>
      <c r="M991" t="inlineStr">
        <is>
          <t xml:space="preserve">Декларация № ЕАЭС № BY/112 11.01. ТР017 122.01 08246, до 19.04.2028</t>
        </is>
      </c>
      <c r="N991" t="inlineStr">
        <is>
          <t xml:space="preserve">28 × 12 × 11</t>
        </is>
      </c>
      <c r="O991" t="inlineStr">
        <is>
          <t xml:space="preserve">0,51</t>
        </is>
      </c>
      <c r="P991" t="inlineStr">
        <is>
          <t xml:space="preserve">4816148185785</t>
        </is>
      </c>
      <c r="Q991" s="3" t="str">
        <f>HYPERLINK("https://modify.by/img/1543971529/1.webp","фото")</f>
        <v>фото</v>
      </c>
      <c r="R991" s="3" t="str">
        <f>HYPERLINK("https://modify.by/catalog/svitery/1543971529/?utm_source=price&amp;utm_medium=xlsx","открыть")</f>
        <v>открыть</v>
      </c>
    </row>
    <row r="992">
      <c r="A992" t="inlineStr">
        <is>
          <t xml:space="preserve">Мужской</t>
        </is>
      </c>
      <c r="B992" t="inlineStr">
        <is>
          <t xml:space="preserve">Свитеры</t>
        </is>
      </c>
      <c r="C992" t="inlineStr">
        <is>
          <t xml:space="preserve">Джемпер классический хлопковый с V-образным вырезом, охра</t>
        </is>
      </c>
      <c r="D992" t="inlineStr">
        <is>
          <t xml:space="preserve">SW62M05Охра</t>
        </is>
      </c>
      <c r="E992" t="inlineStr">
        <is>
          <t xml:space="preserve">охра</t>
        </is>
      </c>
      <c r="F992" t="inlineStr">
        <is>
          <t xml:space="preserve">56-58</t>
        </is>
      </c>
      <c r="G992">
        <v>1</v>
      </c>
      <c r="H992" s="2">
        <v>33.0</v>
      </c>
      <c r="I992" t="inlineStr">
        <is>
          <t xml:space="preserve">100% Хлопок</t>
        </is>
      </c>
      <c r="J992"/>
      <c r="K992" t="inlineStr">
        <is>
          <t xml:space="preserve">Бангладеш</t>
        </is>
      </c>
      <c r="L992" t="inlineStr">
        <is>
          <t xml:space="preserve">6110209100</t>
        </is>
      </c>
      <c r="M992" t="inlineStr">
        <is>
          <t xml:space="preserve">Декларация № ЕАЭС № BY/112 11.01. ТР017 122.01 08246, до 19.04.2028</t>
        </is>
      </c>
      <c r="N992" t="inlineStr">
        <is>
          <t xml:space="preserve">28 × 12 × 11</t>
        </is>
      </c>
      <c r="O992" t="inlineStr">
        <is>
          <t xml:space="preserve">0,51</t>
        </is>
      </c>
      <c r="P992" t="inlineStr">
        <is>
          <t xml:space="preserve">4816148185792</t>
        </is>
      </c>
      <c r="Q992" s="3" t="str">
        <f>HYPERLINK("https://modify.by/img/1543971529/1.webp","фото")</f>
        <v>фото</v>
      </c>
      <c r="R992" s="3" t="str">
        <f>HYPERLINK("https://modify.by/catalog/svitery/1543971529/?utm_source=price&amp;utm_medium=xlsx","открыть")</f>
        <v>открыть</v>
      </c>
    </row>
    <row r="993">
      <c r="A993" t="inlineStr">
        <is>
          <t xml:space="preserve">Мужской</t>
        </is>
      </c>
      <c r="B993" t="inlineStr">
        <is>
          <t xml:space="preserve">Свитеры</t>
        </is>
      </c>
      <c r="C993" t="inlineStr">
        <is>
          <t xml:space="preserve">Джемпер свитер базовый хлопковый</t>
        </is>
      </c>
      <c r="D993" t="inlineStr">
        <is>
          <t xml:space="preserve">SW42M07темно-розовый</t>
        </is>
      </c>
      <c r="E993" t="inlineStr">
        <is>
          <t xml:space="preserve">коралловый</t>
        </is>
      </c>
      <c r="F993" t="inlineStr">
        <is>
          <t xml:space="preserve">46</t>
        </is>
      </c>
      <c r="G993">
        <v>15</v>
      </c>
      <c r="H993" s="2">
        <v>27.0</v>
      </c>
      <c r="I993" t="inlineStr">
        <is>
          <t xml:space="preserve">100% хлопок</t>
        </is>
      </c>
      <c r="J993"/>
      <c r="K993" t="inlineStr">
        <is>
          <t xml:space="preserve">Бангладеш</t>
        </is>
      </c>
      <c r="L993" t="inlineStr">
        <is>
          <t xml:space="preserve">6110209100</t>
        </is>
      </c>
      <c r="M993" t="inlineStr">
        <is>
          <t xml:space="preserve">Декларация № ЕАЭС № BY/112 11.01. ТР017 122.01 08246, до 19.04.2028</t>
        </is>
      </c>
      <c r="N993" t="inlineStr">
        <is>
          <t xml:space="preserve">36 × 27 × 2</t>
        </is>
      </c>
      <c r="O993" t="inlineStr">
        <is>
          <t xml:space="preserve">0,33</t>
        </is>
      </c>
      <c r="P993" t="inlineStr">
        <is>
          <t xml:space="preserve">4816148147912</t>
        </is>
      </c>
      <c r="Q993" s="3" t="str">
        <f>HYPERLINK("https://modify.by/img/258242622/1.webp","фото")</f>
        <v>фото</v>
      </c>
      <c r="R993" s="3" t="str">
        <f>HYPERLINK("https://modify.by/catalog/svitery/258242622/?utm_source=price&amp;utm_medium=xlsx","открыть")</f>
        <v>открыть</v>
      </c>
    </row>
    <row r="994">
      <c r="A994" t="inlineStr">
        <is>
          <t xml:space="preserve">Мужской</t>
        </is>
      </c>
      <c r="B994" t="inlineStr">
        <is>
          <t xml:space="preserve">Свитеры</t>
        </is>
      </c>
      <c r="C994" t="inlineStr">
        <is>
          <t xml:space="preserve">Джемпер свитер базовый хлопковый</t>
        </is>
      </c>
      <c r="D994" t="inlineStr">
        <is>
          <t xml:space="preserve">SW42M07темно-розовый</t>
        </is>
      </c>
      <c r="E994" t="inlineStr">
        <is>
          <t xml:space="preserve">коралловый</t>
        </is>
      </c>
      <c r="F994" t="inlineStr">
        <is>
          <t xml:space="preserve">48</t>
        </is>
      </c>
      <c r="G994">
        <v>18</v>
      </c>
      <c r="H994" s="2">
        <v>27.0</v>
      </c>
      <c r="I994" t="inlineStr">
        <is>
          <t xml:space="preserve">100% хлопок</t>
        </is>
      </c>
      <c r="J994"/>
      <c r="K994" t="inlineStr">
        <is>
          <t xml:space="preserve">Бангладеш</t>
        </is>
      </c>
      <c r="L994" t="inlineStr">
        <is>
          <t xml:space="preserve">6110209100</t>
        </is>
      </c>
      <c r="M994" t="inlineStr">
        <is>
          <t xml:space="preserve">Декларация № ЕАЭС № BY/112 11.01. ТР017 122.01 08246, до 19.04.2028</t>
        </is>
      </c>
      <c r="N994" t="inlineStr">
        <is>
          <t xml:space="preserve">36 × 27 × 2</t>
        </is>
      </c>
      <c r="O994" t="inlineStr">
        <is>
          <t xml:space="preserve">0,33</t>
        </is>
      </c>
      <c r="P994" t="inlineStr">
        <is>
          <t xml:space="preserve">4816148147929</t>
        </is>
      </c>
      <c r="Q994" s="3" t="str">
        <f>HYPERLINK("https://modify.by/img/258242622/1.webp","фото")</f>
        <v>фото</v>
      </c>
      <c r="R994" s="3" t="str">
        <f>HYPERLINK("https://modify.by/catalog/svitery/258242622/?utm_source=price&amp;utm_medium=xlsx","открыть")</f>
        <v>открыть</v>
      </c>
    </row>
    <row r="995">
      <c r="A995" t="inlineStr">
        <is>
          <t xml:space="preserve">Мужской</t>
        </is>
      </c>
      <c r="B995" t="inlineStr">
        <is>
          <t xml:space="preserve">Свитеры</t>
        </is>
      </c>
      <c r="C995" t="inlineStr">
        <is>
          <t xml:space="preserve">Джемпер теплый классический, синий меланж</t>
        </is>
      </c>
      <c r="D995" t="inlineStr">
        <is>
          <t xml:space="preserve">SW52M03синий</t>
        </is>
      </c>
      <c r="E995" t="inlineStr">
        <is>
          <t xml:space="preserve">синий меланж, светло-синий</t>
        </is>
      </c>
      <c r="F995" t="inlineStr">
        <is>
          <t xml:space="preserve">48</t>
        </is>
      </c>
      <c r="G995">
        <v>7</v>
      </c>
      <c r="H995" s="2">
        <v>32.0</v>
      </c>
      <c r="I995" t="inlineStr">
        <is>
          <t xml:space="preserve">шерсть, вискоза, акрил, пэ</t>
        </is>
      </c>
      <c r="J995"/>
      <c r="K995" t="inlineStr">
        <is>
          <t xml:space="preserve">Бангладеш</t>
        </is>
      </c>
      <c r="L995" t="inlineStr">
        <is>
          <t xml:space="preserve">6110209100</t>
        </is>
      </c>
      <c r="M995" t="inlineStr">
        <is>
          <t xml:space="preserve">Декларация № ЕАЭС № BY/112 11.01. ТР017 122.01 08246, до 19.04.2028</t>
        </is>
      </c>
      <c r="N995" t="inlineStr">
        <is>
          <t xml:space="preserve">35 × 30 × 3</t>
        </is>
      </c>
      <c r="O995" t="inlineStr">
        <is>
          <t xml:space="preserve">0,38</t>
        </is>
      </c>
      <c r="P995" t="inlineStr">
        <is>
          <t xml:space="preserve">4816148171139</t>
        </is>
      </c>
      <c r="Q995" s="3" t="str">
        <f>HYPERLINK("https://modify.by/img/597161495/1.webp","фото")</f>
        <v>фото</v>
      </c>
      <c r="R995" s="3" t="str">
        <f>HYPERLINK("https://modify.by/catalog/svitery/597161495/?utm_source=price&amp;utm_medium=xlsx","открыть")</f>
        <v>открыть</v>
      </c>
    </row>
    <row r="996">
      <c r="A996" t="inlineStr">
        <is>
          <t xml:space="preserve">Мужской</t>
        </is>
      </c>
      <c r="B996" t="inlineStr">
        <is>
          <t xml:space="preserve">Свитеры</t>
        </is>
      </c>
      <c r="C996" t="inlineStr">
        <is>
          <t xml:space="preserve">Джемпер теплый классический, синий меланж</t>
        </is>
      </c>
      <c r="D996" t="inlineStr">
        <is>
          <t xml:space="preserve">SW52M03синий</t>
        </is>
      </c>
      <c r="E996" t="inlineStr">
        <is>
          <t xml:space="preserve">синий меланж, светло-синий</t>
        </is>
      </c>
      <c r="F996" t="inlineStr">
        <is>
          <t xml:space="preserve">50</t>
        </is>
      </c>
      <c r="G996">
        <v>10</v>
      </c>
      <c r="H996" s="2">
        <v>32.0</v>
      </c>
      <c r="I996" t="inlineStr">
        <is>
          <t xml:space="preserve">шерсть, вискоза, акрил, пэ</t>
        </is>
      </c>
      <c r="J996"/>
      <c r="K996" t="inlineStr">
        <is>
          <t xml:space="preserve">Бангладеш</t>
        </is>
      </c>
      <c r="L996" t="inlineStr">
        <is>
          <t xml:space="preserve">6110209100</t>
        </is>
      </c>
      <c r="M996" t="inlineStr">
        <is>
          <t xml:space="preserve">Декларация № ЕАЭС № BY/112 11.01. ТР017 122.01 08246, до 19.04.2028</t>
        </is>
      </c>
      <c r="N996" t="inlineStr">
        <is>
          <t xml:space="preserve">35 × 30 × 3</t>
        </is>
      </c>
      <c r="O996" t="inlineStr">
        <is>
          <t xml:space="preserve">0,38</t>
        </is>
      </c>
      <c r="P996" t="inlineStr">
        <is>
          <t xml:space="preserve">4816148171146</t>
        </is>
      </c>
      <c r="Q996" s="3" t="str">
        <f>HYPERLINK("https://modify.by/img/597161495/1.webp","фото")</f>
        <v>фото</v>
      </c>
      <c r="R996" s="3" t="str">
        <f>HYPERLINK("https://modify.by/catalog/svitery/597161495/?utm_source=price&amp;utm_medium=xlsx","открыть")</f>
        <v>открыть</v>
      </c>
    </row>
    <row r="997">
      <c r="A997" t="inlineStr">
        <is>
          <t xml:space="preserve">Мужской</t>
        </is>
      </c>
      <c r="B997" t="inlineStr">
        <is>
          <t xml:space="preserve">Свитеры</t>
        </is>
      </c>
      <c r="C997" t="inlineStr">
        <is>
          <t xml:space="preserve">Джемпер теплый классический, синий меланж</t>
        </is>
      </c>
      <c r="D997" t="inlineStr">
        <is>
          <t xml:space="preserve">SW52M03синий</t>
        </is>
      </c>
      <c r="E997" t="inlineStr">
        <is>
          <t xml:space="preserve">синий меланж, светло-синий</t>
        </is>
      </c>
      <c r="F997" t="inlineStr">
        <is>
          <t xml:space="preserve">52</t>
        </is>
      </c>
      <c r="G997">
        <v>38</v>
      </c>
      <c r="H997" s="2">
        <v>32.0</v>
      </c>
      <c r="I997" t="inlineStr">
        <is>
          <t xml:space="preserve">шерсть, вискоза, акрил, пэ</t>
        </is>
      </c>
      <c r="J997"/>
      <c r="K997" t="inlineStr">
        <is>
          <t xml:space="preserve">Бангладеш</t>
        </is>
      </c>
      <c r="L997" t="inlineStr">
        <is>
          <t xml:space="preserve">6110209100</t>
        </is>
      </c>
      <c r="M997" t="inlineStr">
        <is>
          <t xml:space="preserve">Декларация № ЕАЭС № BY/112 11.01. ТР017 122.01 08246, до 19.04.2028</t>
        </is>
      </c>
      <c r="N997" t="inlineStr">
        <is>
          <t xml:space="preserve">35 × 30 × 3</t>
        </is>
      </c>
      <c r="O997" t="inlineStr">
        <is>
          <t xml:space="preserve">0,38</t>
        </is>
      </c>
      <c r="P997" t="inlineStr">
        <is>
          <t xml:space="preserve">4816148171153</t>
        </is>
      </c>
      <c r="Q997" s="3" t="str">
        <f>HYPERLINK("https://modify.by/img/597161495/1.webp","фото")</f>
        <v>фото</v>
      </c>
      <c r="R997" s="3" t="str">
        <f>HYPERLINK("https://modify.by/catalog/svitery/597161495/?utm_source=price&amp;utm_medium=xlsx","открыть")</f>
        <v>открыть</v>
      </c>
    </row>
    <row r="998">
      <c r="A998" t="inlineStr">
        <is>
          <t xml:space="preserve">Мужской</t>
        </is>
      </c>
      <c r="B998" t="inlineStr">
        <is>
          <t xml:space="preserve">Свитеры</t>
        </is>
      </c>
      <c r="C998" t="inlineStr">
        <is>
          <t xml:space="preserve">Джемпер теплый классический, теплый бежевый</t>
        </is>
      </c>
      <c r="D998" t="inlineStr">
        <is>
          <t xml:space="preserve">SW52M03бежевый</t>
        </is>
      </c>
      <c r="E998" t="inlineStr">
        <is>
          <t xml:space="preserve">теплый бежевый, песочный</t>
        </is>
      </c>
      <c r="F998" t="inlineStr">
        <is>
          <t xml:space="preserve">48</t>
        </is>
      </c>
      <c r="G998">
        <v>5</v>
      </c>
      <c r="H998" s="2">
        <v>32.0</v>
      </c>
      <c r="I998" t="inlineStr">
        <is>
          <t xml:space="preserve">шерсть, вискоза, акрил, пэ</t>
        </is>
      </c>
      <c r="J998"/>
      <c r="K998" t="inlineStr">
        <is>
          <t xml:space="preserve">Бангладеш</t>
        </is>
      </c>
      <c r="L998" t="inlineStr">
        <is>
          <t xml:space="preserve">6110209100</t>
        </is>
      </c>
      <c r="M998" t="inlineStr">
        <is>
          <t xml:space="preserve">Декларация № ЕАЭС № BY/112 11.01. ТР017 122.01 08246, до 19.04.2028</t>
        </is>
      </c>
      <c r="N998" t="inlineStr">
        <is>
          <t xml:space="preserve">37 × 30 × 2</t>
        </is>
      </c>
      <c r="O998" t="inlineStr">
        <is>
          <t xml:space="preserve">0,38</t>
        </is>
      </c>
      <c r="P998" t="inlineStr">
        <is>
          <t xml:space="preserve">4816148171078</t>
        </is>
      </c>
      <c r="Q998" s="3" t="str">
        <f>HYPERLINK("https://modify.by/img/597294566/1.webp","фото")</f>
        <v>фото</v>
      </c>
      <c r="R998" s="3" t="str">
        <f>HYPERLINK("https://modify.by/catalog/svitery/597294566/?utm_source=price&amp;utm_medium=xlsx","открыть")</f>
        <v>открыть</v>
      </c>
    </row>
    <row r="999">
      <c r="A999" t="inlineStr">
        <is>
          <t xml:space="preserve">Мужской</t>
        </is>
      </c>
      <c r="B999" t="inlineStr">
        <is>
          <t xml:space="preserve">Свитеры</t>
        </is>
      </c>
      <c r="C999" t="inlineStr">
        <is>
          <t xml:space="preserve">Джемпер теплый классический, теплый бежевый</t>
        </is>
      </c>
      <c r="D999" t="inlineStr">
        <is>
          <t xml:space="preserve">SW52M03бежевый</t>
        </is>
      </c>
      <c r="E999" t="inlineStr">
        <is>
          <t xml:space="preserve">теплый бежевый, песочный</t>
        </is>
      </c>
      <c r="F999" t="inlineStr">
        <is>
          <t xml:space="preserve">50</t>
        </is>
      </c>
      <c r="G999">
        <v>2</v>
      </c>
      <c r="H999" s="2">
        <v>32.0</v>
      </c>
      <c r="I999" t="inlineStr">
        <is>
          <t xml:space="preserve">шерсть, вискоза, акрил, пэ</t>
        </is>
      </c>
      <c r="J999"/>
      <c r="K999" t="inlineStr">
        <is>
          <t xml:space="preserve">Бангладеш</t>
        </is>
      </c>
      <c r="L999" t="inlineStr">
        <is>
          <t xml:space="preserve">6110209100</t>
        </is>
      </c>
      <c r="M999" t="inlineStr">
        <is>
          <t xml:space="preserve">Декларация № ЕАЭС № BY/112 11.01. ТР017 122.01 08246, до 19.04.2028</t>
        </is>
      </c>
      <c r="N999" t="inlineStr">
        <is>
          <t xml:space="preserve">37 × 30 × 2</t>
        </is>
      </c>
      <c r="O999" t="inlineStr">
        <is>
          <t xml:space="preserve">0,38</t>
        </is>
      </c>
      <c r="P999" t="inlineStr">
        <is>
          <t xml:space="preserve">4816148171085</t>
        </is>
      </c>
      <c r="Q999" s="3" t="str">
        <f>HYPERLINK("https://modify.by/img/597294566/1.webp","фото")</f>
        <v>фото</v>
      </c>
      <c r="R999" s="3" t="str">
        <f>HYPERLINK("https://modify.by/catalog/svitery/597294566/?utm_source=price&amp;utm_medium=xlsx","открыть")</f>
        <v>открыть</v>
      </c>
    </row>
    <row r="1000">
      <c r="A1000" t="inlineStr">
        <is>
          <t xml:space="preserve">Мужской</t>
        </is>
      </c>
      <c r="B1000" t="inlineStr">
        <is>
          <t xml:space="preserve">Свитеры</t>
        </is>
      </c>
      <c r="C1000" t="inlineStr">
        <is>
          <t xml:space="preserve">Джемпер теплый классический, теплый бежевый</t>
        </is>
      </c>
      <c r="D1000" t="inlineStr">
        <is>
          <t xml:space="preserve">SW52M03бежевый</t>
        </is>
      </c>
      <c r="E1000" t="inlineStr">
        <is>
          <t xml:space="preserve">теплый бежевый, песочный</t>
        </is>
      </c>
      <c r="F1000" t="inlineStr">
        <is>
          <t xml:space="preserve">52</t>
        </is>
      </c>
      <c r="G1000">
        <v>19</v>
      </c>
      <c r="H1000" s="2">
        <v>32.0</v>
      </c>
      <c r="I1000" t="inlineStr">
        <is>
          <t xml:space="preserve">шерсть, вискоза, акрил, пэ</t>
        </is>
      </c>
      <c r="J1000"/>
      <c r="K1000" t="inlineStr">
        <is>
          <t xml:space="preserve">Бангладеш</t>
        </is>
      </c>
      <c r="L1000" t="inlineStr">
        <is>
          <t xml:space="preserve">6110209100</t>
        </is>
      </c>
      <c r="M1000" t="inlineStr">
        <is>
          <t xml:space="preserve">Декларация № ЕАЭС № BY/112 11.01. ТР017 122.01 08246, до 19.04.2028</t>
        </is>
      </c>
      <c r="N1000" t="inlineStr">
        <is>
          <t xml:space="preserve">37 × 30 × 2</t>
        </is>
      </c>
      <c r="O1000" t="inlineStr">
        <is>
          <t xml:space="preserve">0,38</t>
        </is>
      </c>
      <c r="P1000" t="inlineStr">
        <is>
          <t xml:space="preserve">4816148171092</t>
        </is>
      </c>
      <c r="Q1000" s="3" t="str">
        <f>HYPERLINK("https://modify.by/img/597294566/1.webp","фото")</f>
        <v>фото</v>
      </c>
      <c r="R1000" s="3" t="str">
        <f>HYPERLINK("https://modify.by/catalog/svitery/597294566/?utm_source=price&amp;utm_medium=xlsx","открыть")</f>
        <v>открыть</v>
      </c>
    </row>
    <row r="1001">
      <c r="A1001" t="inlineStr">
        <is>
          <t xml:space="preserve">Мужской</t>
        </is>
      </c>
      <c r="B1001" t="inlineStr">
        <is>
          <t xml:space="preserve">Свитеры</t>
        </is>
      </c>
      <c r="C1001" t="inlineStr">
        <is>
          <t xml:space="preserve">Джемпер хлопковый трикотажный свитер пуловер кофта, светло-сиреневый</t>
        </is>
      </c>
      <c r="D1001" t="inlineStr">
        <is>
          <t xml:space="preserve">SW42M07светло-сиреневый</t>
        </is>
      </c>
      <c r="E1001" t="inlineStr">
        <is>
          <t xml:space="preserve">светло-сиреневый</t>
        </is>
      </c>
      <c r="F1001" t="inlineStr">
        <is>
          <t xml:space="preserve">46</t>
        </is>
      </c>
      <c r="G1001">
        <v>18</v>
      </c>
      <c r="H1001" s="2">
        <v>27.0</v>
      </c>
      <c r="I1001" t="inlineStr">
        <is>
          <t xml:space="preserve">100% хлопок</t>
        </is>
      </c>
      <c r="J1001"/>
      <c r="K1001" t="inlineStr">
        <is>
          <t xml:space="preserve">Бангладеш</t>
        </is>
      </c>
      <c r="L1001" t="inlineStr">
        <is>
          <t xml:space="preserve">6110209100</t>
        </is>
      </c>
      <c r="M1001" t="inlineStr">
        <is>
          <t xml:space="preserve">Декларация № ЕАЭС № BY/112 11.01. ТР017 122.01 08246, до 19.04.2028</t>
        </is>
      </c>
      <c r="N1001" t="inlineStr">
        <is>
          <t xml:space="preserve">36 × 27 × 2</t>
        </is>
      </c>
      <c r="O1001" t="inlineStr">
        <is>
          <t xml:space="preserve">0,33</t>
        </is>
      </c>
      <c r="P1001" t="inlineStr">
        <is>
          <t xml:space="preserve">4816148147813</t>
        </is>
      </c>
      <c r="Q1001" s="3" t="str">
        <f>HYPERLINK("https://modify.by/img/258242620/1.webp","фото")</f>
        <v>фото</v>
      </c>
      <c r="R1001" s="3" t="str">
        <f>HYPERLINK("https://modify.by/catalog/svitery/258242620/?utm_source=price&amp;utm_medium=xlsx","открыть")</f>
        <v>открыть</v>
      </c>
    </row>
    <row r="1002">
      <c r="A1002" t="inlineStr">
        <is>
          <t xml:space="preserve">Мужской</t>
        </is>
      </c>
      <c r="B1002" t="inlineStr">
        <is>
          <t xml:space="preserve">Свитеры</t>
        </is>
      </c>
      <c r="C1002" t="inlineStr">
        <is>
          <t xml:space="preserve">Джемпер хлопковый трикотажный свитер пуловер кофта, светло-сиреневый</t>
        </is>
      </c>
      <c r="D1002" t="inlineStr">
        <is>
          <t xml:space="preserve">SW42M07светло-сиреневый</t>
        </is>
      </c>
      <c r="E1002" t="inlineStr">
        <is>
          <t xml:space="preserve">светло-сиреневый</t>
        </is>
      </c>
      <c r="F1002" t="inlineStr">
        <is>
          <t xml:space="preserve">48</t>
        </is>
      </c>
      <c r="G1002">
        <v>15</v>
      </c>
      <c r="H1002" s="2">
        <v>27.0</v>
      </c>
      <c r="I1002" t="inlineStr">
        <is>
          <t xml:space="preserve">100% хлопок</t>
        </is>
      </c>
      <c r="J1002"/>
      <c r="K1002" t="inlineStr">
        <is>
          <t xml:space="preserve">Бангладеш</t>
        </is>
      </c>
      <c r="L1002" t="inlineStr">
        <is>
          <t xml:space="preserve">6110209100</t>
        </is>
      </c>
      <c r="M1002" t="inlineStr">
        <is>
          <t xml:space="preserve">Декларация № ЕАЭС № BY/112 11.01. ТР017 122.01 08246, до 19.04.2028</t>
        </is>
      </c>
      <c r="N1002" t="inlineStr">
        <is>
          <t xml:space="preserve">36 × 27 × 2</t>
        </is>
      </c>
      <c r="O1002" t="inlineStr">
        <is>
          <t xml:space="preserve">0,33</t>
        </is>
      </c>
      <c r="P1002" t="inlineStr">
        <is>
          <t xml:space="preserve">4816148147820</t>
        </is>
      </c>
      <c r="Q1002" s="3" t="str">
        <f>HYPERLINK("https://modify.by/img/258242620/1.webp","фото")</f>
        <v>фото</v>
      </c>
      <c r="R1002" s="3" t="str">
        <f>HYPERLINK("https://modify.by/catalog/svitery/258242620/?utm_source=price&amp;utm_medium=xlsx","открыть")</f>
        <v>открыть</v>
      </c>
    </row>
    <row r="1003">
      <c r="A1003" t="inlineStr">
        <is>
          <t xml:space="preserve">Мужской</t>
        </is>
      </c>
      <c r="B1003" t="inlineStr">
        <is>
          <t xml:space="preserve">Свитеры</t>
        </is>
      </c>
      <c r="C1003" t="inlineStr">
        <is>
          <t xml:space="preserve">Джемпер хлопковый трикотажный свитер пуловер кофта, темно-синий</t>
        </is>
      </c>
      <c r="D1003" t="inlineStr">
        <is>
          <t xml:space="preserve">SW42M07темно-синий</t>
        </is>
      </c>
      <c r="E1003" t="inlineStr">
        <is>
          <t xml:space="preserve">темно-синий</t>
        </is>
      </c>
      <c r="F1003" t="inlineStr">
        <is>
          <t xml:space="preserve">46</t>
        </is>
      </c>
      <c r="G1003">
        <v>13</v>
      </c>
      <c r="H1003" s="2">
        <v>27.0</v>
      </c>
      <c r="I1003" t="inlineStr">
        <is>
          <t xml:space="preserve">100% хлопок</t>
        </is>
      </c>
      <c r="J1003"/>
      <c r="K1003" t="inlineStr">
        <is>
          <t xml:space="preserve">Бангладеш</t>
        </is>
      </c>
      <c r="L1003" t="inlineStr">
        <is>
          <t xml:space="preserve">6110209100</t>
        </is>
      </c>
      <c r="M1003" t="inlineStr">
        <is>
          <t xml:space="preserve">Декларация № ЕАЭС № BY/112 11.01. ТР017 122.01 08246, до 19.04.2028</t>
        </is>
      </c>
      <c r="N1003" t="inlineStr">
        <is>
          <t xml:space="preserve">36 × 27 × 2</t>
        </is>
      </c>
      <c r="O1003" t="inlineStr">
        <is>
          <t xml:space="preserve">0,33</t>
        </is>
      </c>
      <c r="P1003" t="inlineStr">
        <is>
          <t xml:space="preserve">4816148147714</t>
        </is>
      </c>
      <c r="Q1003" s="3" t="str">
        <f>HYPERLINK("https://modify.by/img/258242618/1.webp","фото")</f>
        <v>фото</v>
      </c>
      <c r="R1003" s="3" t="str">
        <f>HYPERLINK("https://modify.by/catalog/svitery/258242618/?utm_source=price&amp;utm_medium=xlsx","открыть")</f>
        <v>открыть</v>
      </c>
    </row>
    <row r="1004">
      <c r="A1004" t="inlineStr">
        <is>
          <t xml:space="preserve">Мужской</t>
        </is>
      </c>
      <c r="B1004" t="inlineStr">
        <is>
          <t xml:space="preserve">Свитеры</t>
        </is>
      </c>
      <c r="C1004" t="inlineStr">
        <is>
          <t xml:space="preserve">Джемпер хлопковый трикотажный свитер пуловер кофта, темно-синий</t>
        </is>
      </c>
      <c r="D1004" t="inlineStr">
        <is>
          <t xml:space="preserve">SW42M07темно-синий</t>
        </is>
      </c>
      <c r="E1004" t="inlineStr">
        <is>
          <t xml:space="preserve">темно-синий</t>
        </is>
      </c>
      <c r="F1004" t="inlineStr">
        <is>
          <t xml:space="preserve">48</t>
        </is>
      </c>
      <c r="G1004">
        <v>20</v>
      </c>
      <c r="H1004" s="2">
        <v>27.0</v>
      </c>
      <c r="I1004" t="inlineStr">
        <is>
          <t xml:space="preserve">100% хлопок</t>
        </is>
      </c>
      <c r="J1004"/>
      <c r="K1004" t="inlineStr">
        <is>
          <t xml:space="preserve">Бангладеш</t>
        </is>
      </c>
      <c r="L1004" t="inlineStr">
        <is>
          <t xml:space="preserve">6110209100</t>
        </is>
      </c>
      <c r="M1004" t="inlineStr">
        <is>
          <t xml:space="preserve">Декларация № ЕАЭС № BY/112 11.01. ТР017 122.01 08246, до 19.04.2028</t>
        </is>
      </c>
      <c r="N1004" t="inlineStr">
        <is>
          <t xml:space="preserve">36 × 27 × 2</t>
        </is>
      </c>
      <c r="O1004" t="inlineStr">
        <is>
          <t xml:space="preserve">0,33</t>
        </is>
      </c>
      <c r="P1004" t="inlineStr">
        <is>
          <t xml:space="preserve">4816148147721</t>
        </is>
      </c>
      <c r="Q1004" s="3" t="str">
        <f>HYPERLINK("https://modify.by/img/258242618/1.webp","фото")</f>
        <v>фото</v>
      </c>
      <c r="R1004" s="3" t="str">
        <f>HYPERLINK("https://modify.by/catalog/svitery/258242618/?utm_source=price&amp;utm_medium=xlsx","открыть")</f>
        <v>открыть</v>
      </c>
    </row>
    <row r="1005">
      <c r="A1005" t="inlineStr">
        <is>
          <t xml:space="preserve">Мужской</t>
        </is>
      </c>
      <c r="B1005" t="inlineStr">
        <is>
          <t xml:space="preserve">Свитеры</t>
        </is>
      </c>
      <c r="C1005" t="inlineStr">
        <is>
          <t xml:space="preserve">Джемпер хлопок</t>
        </is>
      </c>
      <c r="D1005" t="inlineStr">
        <is>
          <t xml:space="preserve">SW12M10Синий</t>
        </is>
      </c>
      <c r="E1005" t="inlineStr">
        <is>
          <t xml:space="preserve">синий</t>
        </is>
      </c>
      <c r="F1005" t="inlineStr">
        <is>
          <t xml:space="preserve">52-54</t>
        </is>
      </c>
      <c r="G1005">
        <v>3</v>
      </c>
      <c r="H1005" s="2">
        <v>26.0</v>
      </c>
      <c r="I1005" t="inlineStr">
        <is>
          <t xml:space="preserve">хлопок 100%</t>
        </is>
      </c>
      <c r="J1005"/>
      <c r="K1005" t="inlineStr">
        <is>
          <t xml:space="preserve">Бангладеш</t>
        </is>
      </c>
      <c r="L1005" t="inlineStr">
        <is>
          <t xml:space="preserve">6110209900</t>
        </is>
      </c>
      <c r="M1005" t="inlineStr">
        <is>
          <t xml:space="preserve">по запросу</t>
        </is>
      </c>
      <c r="N1005"/>
      <c r="O1005"/>
      <c r="P1005" t="inlineStr">
        <is>
          <t xml:space="preserve">2004570295024</t>
        </is>
      </c>
      <c r="Q1005" s="3" t="str">
        <f>HYPERLINK("https://modify.by/img/51816560/1.webp","фото")</f>
        <v>фото</v>
      </c>
      <c r="R1005" s="3" t="str">
        <f>HYPERLINK("https://modify.by/catalog/svitery/51816560/?utm_source=price&amp;utm_medium=xlsx","открыть")</f>
        <v>открыть</v>
      </c>
    </row>
    <row r="1006">
      <c r="A1006" t="inlineStr">
        <is>
          <t xml:space="preserve">Мужской</t>
        </is>
      </c>
      <c r="B1006" t="inlineStr">
        <is>
          <t xml:space="preserve">Свитеры</t>
        </is>
      </c>
      <c r="C1006" t="inlineStr">
        <is>
          <t xml:space="preserve">Пуловер классический хлопковый с V-образным вырезом, оранжевый</t>
        </is>
      </c>
      <c r="D1006" t="inlineStr">
        <is>
          <t xml:space="preserve">SW62M05Оранжевый</t>
        </is>
      </c>
      <c r="E1006" t="inlineStr">
        <is>
          <t xml:space="preserve">оранжевый</t>
        </is>
      </c>
      <c r="F1006" t="inlineStr">
        <is>
          <t xml:space="preserve">46-48</t>
        </is>
      </c>
      <c r="G1006">
        <v>43</v>
      </c>
      <c r="H1006" s="2">
        <v>33.0</v>
      </c>
      <c r="I1006" t="inlineStr">
        <is>
          <t xml:space="preserve">100% Хлопок</t>
        </is>
      </c>
      <c r="J1006"/>
      <c r="K1006" t="inlineStr">
        <is>
          <t xml:space="preserve">Бангладеш</t>
        </is>
      </c>
      <c r="L1006" t="inlineStr">
        <is>
          <t xml:space="preserve">6110209100</t>
        </is>
      </c>
      <c r="M1006" t="inlineStr">
        <is>
          <t xml:space="preserve">Декларация № ЕАЭС № BY/112 11.01. ТР017 122.01 08246, до 19.04.2028</t>
        </is>
      </c>
      <c r="N1006" t="inlineStr">
        <is>
          <t xml:space="preserve">28 × 12 × 11</t>
        </is>
      </c>
      <c r="O1006" t="inlineStr">
        <is>
          <t xml:space="preserve">0,51</t>
        </is>
      </c>
      <c r="P1006" t="inlineStr">
        <is>
          <t xml:space="preserve">4816148185884</t>
        </is>
      </c>
      <c r="Q1006" s="3" t="str">
        <f>HYPERLINK("https://modify.by/img/1543971531/1.webp","фото")</f>
        <v>фото</v>
      </c>
      <c r="R1006" s="3" t="str">
        <f>HYPERLINK("https://modify.by/catalog/svitery/1543971531/?utm_source=price&amp;utm_medium=xlsx","открыть")</f>
        <v>открыть</v>
      </c>
    </row>
    <row r="1007">
      <c r="A1007" t="inlineStr">
        <is>
          <t xml:space="preserve">Мужской</t>
        </is>
      </c>
      <c r="B1007" t="inlineStr">
        <is>
          <t xml:space="preserve">Свитеры</t>
        </is>
      </c>
      <c r="C1007" t="inlineStr">
        <is>
          <t xml:space="preserve">Пуловер классический хлопковый с V-образным вырезом, оранжевый</t>
        </is>
      </c>
      <c r="D1007" t="inlineStr">
        <is>
          <t xml:space="preserve">SW62M05Оранжевый</t>
        </is>
      </c>
      <c r="E1007" t="inlineStr">
        <is>
          <t xml:space="preserve">оранжевый</t>
        </is>
      </c>
      <c r="F1007" t="inlineStr">
        <is>
          <t xml:space="preserve">48-50</t>
        </is>
      </c>
      <c r="G1007">
        <v>16</v>
      </c>
      <c r="H1007" s="2">
        <v>33.0</v>
      </c>
      <c r="I1007" t="inlineStr">
        <is>
          <t xml:space="preserve">100% Хлопок</t>
        </is>
      </c>
      <c r="J1007"/>
      <c r="K1007" t="inlineStr">
        <is>
          <t xml:space="preserve">Бангладеш</t>
        </is>
      </c>
      <c r="L1007" t="inlineStr">
        <is>
          <t xml:space="preserve">6110209100</t>
        </is>
      </c>
      <c r="M1007" t="inlineStr">
        <is>
          <t xml:space="preserve">Декларация № ЕАЭС № BY/112 11.01. ТР017 122.01 08246, до 19.04.2028</t>
        </is>
      </c>
      <c r="N1007" t="inlineStr">
        <is>
          <t xml:space="preserve">28 × 12 × 11</t>
        </is>
      </c>
      <c r="O1007" t="inlineStr">
        <is>
          <t xml:space="preserve">0,51</t>
        </is>
      </c>
      <c r="P1007" t="inlineStr">
        <is>
          <t xml:space="preserve">4816148185891</t>
        </is>
      </c>
      <c r="Q1007" s="3" t="str">
        <f>HYPERLINK("https://modify.by/img/1543971531/1.webp","фото")</f>
        <v>фото</v>
      </c>
      <c r="R1007" s="3" t="str">
        <f>HYPERLINK("https://modify.by/catalog/svitery/1543971531/?utm_source=price&amp;utm_medium=xlsx","открыть")</f>
        <v>открыть</v>
      </c>
    </row>
    <row r="1008">
      <c r="A1008" t="inlineStr">
        <is>
          <t xml:space="preserve">Мужской</t>
        </is>
      </c>
      <c r="B1008" t="inlineStr">
        <is>
          <t xml:space="preserve">Свитеры</t>
        </is>
      </c>
      <c r="C1008" t="inlineStr">
        <is>
          <t xml:space="preserve">Пуловер классический хлопковый с V-образным вырезом, оранжевый</t>
        </is>
      </c>
      <c r="D1008" t="inlineStr">
        <is>
          <t xml:space="preserve">SW62M05Оранжевый</t>
        </is>
      </c>
      <c r="E1008" t="inlineStr">
        <is>
          <t xml:space="preserve">оранжевый</t>
        </is>
      </c>
      <c r="F1008" t="inlineStr">
        <is>
          <t xml:space="preserve">50-52</t>
        </is>
      </c>
      <c r="G1008">
        <v>3</v>
      </c>
      <c r="H1008" s="2">
        <v>33.0</v>
      </c>
      <c r="I1008" t="inlineStr">
        <is>
          <t xml:space="preserve">100% Хлопок</t>
        </is>
      </c>
      <c r="J1008"/>
      <c r="K1008" t="inlineStr">
        <is>
          <t xml:space="preserve">Бангладеш</t>
        </is>
      </c>
      <c r="L1008" t="inlineStr">
        <is>
          <t xml:space="preserve">6110209100</t>
        </is>
      </c>
      <c r="M1008" t="inlineStr">
        <is>
          <t xml:space="preserve">Декларация № ЕАЭС № BY/112 11.01. ТР017 122.01 08246, до 19.04.2028</t>
        </is>
      </c>
      <c r="N1008" t="inlineStr">
        <is>
          <t xml:space="preserve">28 × 12 × 11</t>
        </is>
      </c>
      <c r="O1008" t="inlineStr">
        <is>
          <t xml:space="preserve">0,51</t>
        </is>
      </c>
      <c r="P1008" t="inlineStr">
        <is>
          <t xml:space="preserve">4816148185907</t>
        </is>
      </c>
      <c r="Q1008" s="3" t="str">
        <f>HYPERLINK("https://modify.by/img/1543971531/1.webp","фото")</f>
        <v>фото</v>
      </c>
      <c r="R1008" s="3" t="str">
        <f>HYPERLINK("https://modify.by/catalog/svitery/1543971531/?utm_source=price&amp;utm_medium=xlsx","открыть")</f>
        <v>открыть</v>
      </c>
    </row>
    <row r="1009">
      <c r="A1009" t="inlineStr">
        <is>
          <t xml:space="preserve">Мужской</t>
        </is>
      </c>
      <c r="B1009" t="inlineStr">
        <is>
          <t xml:space="preserve">Свитеры</t>
        </is>
      </c>
      <c r="C1009" t="inlineStr">
        <is>
          <t xml:space="preserve">Пуловер классический хлопковый с V-образным вырезом, оранжевый</t>
        </is>
      </c>
      <c r="D1009" t="inlineStr">
        <is>
          <t xml:space="preserve">SW62M05Оранжевый</t>
        </is>
      </c>
      <c r="E1009" t="inlineStr">
        <is>
          <t xml:space="preserve">оранжевый</t>
        </is>
      </c>
      <c r="F1009" t="inlineStr">
        <is>
          <t xml:space="preserve">54-56</t>
        </is>
      </c>
      <c r="G1009">
        <v>1</v>
      </c>
      <c r="H1009" s="2">
        <v>33.0</v>
      </c>
      <c r="I1009" t="inlineStr">
        <is>
          <t xml:space="preserve">100% Хлопок</t>
        </is>
      </c>
      <c r="J1009"/>
      <c r="K1009" t="inlineStr">
        <is>
          <t xml:space="preserve">Бангладеш</t>
        </is>
      </c>
      <c r="L1009" t="inlineStr">
        <is>
          <t xml:space="preserve">6110209100</t>
        </is>
      </c>
      <c r="M1009" t="inlineStr">
        <is>
          <t xml:space="preserve">Декларация № ЕАЭС № BY/112 11.01. ТР017 122.01 08246, до 19.04.2028</t>
        </is>
      </c>
      <c r="N1009" t="inlineStr">
        <is>
          <t xml:space="preserve">28 × 12 × 11</t>
        </is>
      </c>
      <c r="O1009" t="inlineStr">
        <is>
          <t xml:space="preserve">0,51</t>
        </is>
      </c>
      <c r="P1009" t="inlineStr">
        <is>
          <t xml:space="preserve">4816148185914</t>
        </is>
      </c>
      <c r="Q1009" s="3" t="str">
        <f>HYPERLINK("https://modify.by/img/1543971531/1.webp","фото")</f>
        <v>фото</v>
      </c>
      <c r="R1009" s="3" t="str">
        <f>HYPERLINK("https://modify.by/catalog/svitery/1543971531/?utm_source=price&amp;utm_medium=xlsx","открыть")</f>
        <v>открыть</v>
      </c>
    </row>
    <row r="1010">
      <c r="A1010" t="inlineStr">
        <is>
          <t xml:space="preserve">Мужской</t>
        </is>
      </c>
      <c r="B1010" t="inlineStr">
        <is>
          <t xml:space="preserve">Свитеры</t>
        </is>
      </c>
      <c r="C1010" t="inlineStr">
        <is>
          <t xml:space="preserve">Пуловер классический хлопковый с V-образным вырезом, оранжевый</t>
        </is>
      </c>
      <c r="D1010" t="inlineStr">
        <is>
          <t xml:space="preserve">SW62M05Оранжевый</t>
        </is>
      </c>
      <c r="E1010" t="inlineStr">
        <is>
          <t xml:space="preserve">оранжевый</t>
        </is>
      </c>
      <c r="F1010" t="inlineStr">
        <is>
          <t xml:space="preserve">56-58</t>
        </is>
      </c>
      <c r="G1010">
        <v>1</v>
      </c>
      <c r="H1010" s="2">
        <v>33.0</v>
      </c>
      <c r="I1010" t="inlineStr">
        <is>
          <t xml:space="preserve">100% Хлопок</t>
        </is>
      </c>
      <c r="J1010"/>
      <c r="K1010" t="inlineStr">
        <is>
          <t xml:space="preserve">Бангладеш</t>
        </is>
      </c>
      <c r="L1010" t="inlineStr">
        <is>
          <t xml:space="preserve">6110209100</t>
        </is>
      </c>
      <c r="M1010" t="inlineStr">
        <is>
          <t xml:space="preserve">Декларация № ЕАЭС № BY/112 11.01. ТР017 122.01 08246, до 19.04.2028</t>
        </is>
      </c>
      <c r="N1010" t="inlineStr">
        <is>
          <t xml:space="preserve">28 × 12 × 11</t>
        </is>
      </c>
      <c r="O1010" t="inlineStr">
        <is>
          <t xml:space="preserve">0,51</t>
        </is>
      </c>
      <c r="P1010" t="inlineStr">
        <is>
          <t xml:space="preserve">4816148185921</t>
        </is>
      </c>
      <c r="Q1010" s="3" t="str">
        <f>HYPERLINK("https://modify.by/img/1543971531/1.webp","фото")</f>
        <v>фото</v>
      </c>
      <c r="R1010" s="3" t="str">
        <f>HYPERLINK("https://modify.by/catalog/svitery/1543971531/?utm_source=price&amp;utm_medium=xlsx","открыть")</f>
        <v>открыть</v>
      </c>
    </row>
    <row r="1011">
      <c r="A1011" t="inlineStr">
        <is>
          <t xml:space="preserve">Мужской</t>
        </is>
      </c>
      <c r="B1011" t="inlineStr">
        <is>
          <t xml:space="preserve">Свитеры</t>
        </is>
      </c>
      <c r="C1011" t="inlineStr">
        <is>
          <t xml:space="preserve">Пуловер классический хлопковый с V-образным вырезом, серо-голубой</t>
        </is>
      </c>
      <c r="D1011" t="inlineStr">
        <is>
          <t xml:space="preserve">SW62M05Серо-голубой</t>
        </is>
      </c>
      <c r="E1011" t="inlineStr">
        <is>
          <t xml:space="preserve">серо-голубой</t>
        </is>
      </c>
      <c r="F1011" t="inlineStr">
        <is>
          <t xml:space="preserve">44-46</t>
        </is>
      </c>
      <c r="G1011">
        <v>2</v>
      </c>
      <c r="H1011" s="2">
        <v>33.0</v>
      </c>
      <c r="I1011" t="inlineStr">
        <is>
          <t xml:space="preserve">100% Хлопок</t>
        </is>
      </c>
      <c r="J1011"/>
      <c r="K1011" t="inlineStr">
        <is>
          <t xml:space="preserve">Бангладеш</t>
        </is>
      </c>
      <c r="L1011" t="inlineStr">
        <is>
          <t xml:space="preserve">6110209100</t>
        </is>
      </c>
      <c r="M1011" t="inlineStr">
        <is>
          <t xml:space="preserve">Декларация № ЕАЭС № BY/112 11.01. ТР017 122.01 08246, до 19.04.2028</t>
        </is>
      </c>
      <c r="N1011" t="inlineStr">
        <is>
          <t xml:space="preserve">28 × 12 × 11</t>
        </is>
      </c>
      <c r="O1011" t="inlineStr">
        <is>
          <t xml:space="preserve">0,51</t>
        </is>
      </c>
      <c r="P1011" t="inlineStr">
        <is>
          <t xml:space="preserve">4816148185655</t>
        </is>
      </c>
      <c r="Q1011" s="3" t="str">
        <f>HYPERLINK("https://modify.by/img/1543971528/1.webp","фото")</f>
        <v>фото</v>
      </c>
      <c r="R1011" s="3" t="str">
        <f>HYPERLINK("https://modify.by/catalog/svitery/1543971528/?utm_source=price&amp;utm_medium=xlsx","открыть")</f>
        <v>открыть</v>
      </c>
    </row>
    <row r="1012">
      <c r="A1012" t="inlineStr">
        <is>
          <t xml:space="preserve">Мужской</t>
        </is>
      </c>
      <c r="B1012" t="inlineStr">
        <is>
          <t xml:space="preserve">Свитеры</t>
        </is>
      </c>
      <c r="C1012" t="inlineStr">
        <is>
          <t xml:space="preserve">Пуловер классический хлопковый с V-образным вырезом, серо-голубой</t>
        </is>
      </c>
      <c r="D1012" t="inlineStr">
        <is>
          <t xml:space="preserve">SW62M05Серо-голубой</t>
        </is>
      </c>
      <c r="E1012" t="inlineStr">
        <is>
          <t xml:space="preserve">серо-голубой</t>
        </is>
      </c>
      <c r="F1012" t="inlineStr">
        <is>
          <t xml:space="preserve">48-50</t>
        </is>
      </c>
      <c r="G1012">
        <v>5</v>
      </c>
      <c r="H1012" s="2">
        <v>33.0</v>
      </c>
      <c r="I1012" t="inlineStr">
        <is>
          <t xml:space="preserve">100% Хлопок</t>
        </is>
      </c>
      <c r="J1012"/>
      <c r="K1012" t="inlineStr">
        <is>
          <t xml:space="preserve">Бангладеш</t>
        </is>
      </c>
      <c r="L1012" t="inlineStr">
        <is>
          <t xml:space="preserve">6110209100</t>
        </is>
      </c>
      <c r="M1012" t="inlineStr">
        <is>
          <t xml:space="preserve">Декларация № ЕАЭС № BY/112 11.01. ТР017 122.01 08246, до 19.04.2028</t>
        </is>
      </c>
      <c r="N1012" t="inlineStr">
        <is>
          <t xml:space="preserve">28 × 12 × 11</t>
        </is>
      </c>
      <c r="O1012" t="inlineStr">
        <is>
          <t xml:space="preserve">0,51</t>
        </is>
      </c>
      <c r="P1012" t="inlineStr">
        <is>
          <t xml:space="preserve">4816148185679</t>
        </is>
      </c>
      <c r="Q1012" s="3" t="str">
        <f>HYPERLINK("https://modify.by/img/1543971528/1.webp","фото")</f>
        <v>фото</v>
      </c>
      <c r="R1012" s="3" t="str">
        <f>HYPERLINK("https://modify.by/catalog/svitery/1543971528/?utm_source=price&amp;utm_medium=xlsx","открыть")</f>
        <v>открыть</v>
      </c>
    </row>
    <row r="1013">
      <c r="A1013" t="inlineStr">
        <is>
          <t xml:space="preserve">Мужской</t>
        </is>
      </c>
      <c r="B1013" t="inlineStr">
        <is>
          <t xml:space="preserve">Свитеры</t>
        </is>
      </c>
      <c r="C1013" t="inlineStr">
        <is>
          <t xml:space="preserve">Пуловер классический хлопковый с V-образным вырезом, серо-голубой</t>
        </is>
      </c>
      <c r="D1013" t="inlineStr">
        <is>
          <t xml:space="preserve">SW62M05Серо-голубой</t>
        </is>
      </c>
      <c r="E1013" t="inlineStr">
        <is>
          <t xml:space="preserve">серо-голубой</t>
        </is>
      </c>
      <c r="F1013" t="inlineStr">
        <is>
          <t xml:space="preserve">50-52</t>
        </is>
      </c>
      <c r="G1013">
        <v>15</v>
      </c>
      <c r="H1013" s="2">
        <v>33.0</v>
      </c>
      <c r="I1013" t="inlineStr">
        <is>
          <t xml:space="preserve">100% Хлопок</t>
        </is>
      </c>
      <c r="J1013"/>
      <c r="K1013" t="inlineStr">
        <is>
          <t xml:space="preserve">Бангладеш</t>
        </is>
      </c>
      <c r="L1013" t="inlineStr">
        <is>
          <t xml:space="preserve">6110209100</t>
        </is>
      </c>
      <c r="M1013" t="inlineStr">
        <is>
          <t xml:space="preserve">Декларация № ЕАЭС № BY/112 11.01. ТР017 122.01 08246, до 19.04.2028</t>
        </is>
      </c>
      <c r="N1013" t="inlineStr">
        <is>
          <t xml:space="preserve">28 × 12 × 11</t>
        </is>
      </c>
      <c r="O1013" t="inlineStr">
        <is>
          <t xml:space="preserve">0,51</t>
        </is>
      </c>
      <c r="P1013" t="inlineStr">
        <is>
          <t xml:space="preserve">4816148185686</t>
        </is>
      </c>
      <c r="Q1013" s="3" t="str">
        <f>HYPERLINK("https://modify.by/img/1543971528/1.webp","фото")</f>
        <v>фото</v>
      </c>
      <c r="R1013" s="3" t="str">
        <f>HYPERLINK("https://modify.by/catalog/svitery/1543971528/?utm_source=price&amp;utm_medium=xlsx","открыть")</f>
        <v>открыть</v>
      </c>
    </row>
    <row r="1014">
      <c r="A1014" t="inlineStr">
        <is>
          <t xml:space="preserve">Мужской</t>
        </is>
      </c>
      <c r="B1014" t="inlineStr">
        <is>
          <t xml:space="preserve">Свитеры</t>
        </is>
      </c>
      <c r="C1014" t="inlineStr">
        <is>
          <t xml:space="preserve">Пуловер классический хлопковый с V-образным вырезом, серо-голубой</t>
        </is>
      </c>
      <c r="D1014" t="inlineStr">
        <is>
          <t xml:space="preserve">SW62M05Серо-голубой</t>
        </is>
      </c>
      <c r="E1014" t="inlineStr">
        <is>
          <t xml:space="preserve">серо-голубой</t>
        </is>
      </c>
      <c r="F1014" t="inlineStr">
        <is>
          <t xml:space="preserve">52-54</t>
        </is>
      </c>
      <c r="G1014">
        <v>1</v>
      </c>
      <c r="H1014" s="2">
        <v>33.0</v>
      </c>
      <c r="I1014" t="inlineStr">
        <is>
          <t xml:space="preserve">100% Хлопок</t>
        </is>
      </c>
      <c r="J1014"/>
      <c r="K1014" t="inlineStr">
        <is>
          <t xml:space="preserve">Бангладеш</t>
        </is>
      </c>
      <c r="L1014" t="inlineStr">
        <is>
          <t xml:space="preserve">6110209100</t>
        </is>
      </c>
      <c r="M1014" t="inlineStr">
        <is>
          <t xml:space="preserve">Декларация № ЕАЭС № BY/112 11.01. ТР017 122.01 08246, до 19.04.2028</t>
        </is>
      </c>
      <c r="N1014" t="inlineStr">
        <is>
          <t xml:space="preserve">28 × 12 × 11</t>
        </is>
      </c>
      <c r="O1014" t="inlineStr">
        <is>
          <t xml:space="preserve">0,51</t>
        </is>
      </c>
      <c r="P1014" t="inlineStr">
        <is>
          <t xml:space="preserve">4816148185693</t>
        </is>
      </c>
      <c r="Q1014" s="3" t="str">
        <f>HYPERLINK("https://modify.by/img/1543971528/1.webp","фото")</f>
        <v>фото</v>
      </c>
      <c r="R1014" s="3" t="str">
        <f>HYPERLINK("https://modify.by/catalog/svitery/1543971528/?utm_source=price&amp;utm_medium=xlsx","открыть")</f>
        <v>открыть</v>
      </c>
    </row>
    <row r="1015">
      <c r="A1015" t="inlineStr">
        <is>
          <t xml:space="preserve">Мужской</t>
        </is>
      </c>
      <c r="B1015" t="inlineStr">
        <is>
          <t xml:space="preserve">Свитеры</t>
        </is>
      </c>
      <c r="C1015" t="inlineStr">
        <is>
          <t xml:space="preserve">Пуловер классический хлопковый с V-образным вырезом, серо-голубой</t>
        </is>
      </c>
      <c r="D1015" t="inlineStr">
        <is>
          <t xml:space="preserve">SW62M05Серо-голубой</t>
        </is>
      </c>
      <c r="E1015" t="inlineStr">
        <is>
          <t xml:space="preserve">серо-голубой</t>
        </is>
      </c>
      <c r="F1015" t="inlineStr">
        <is>
          <t xml:space="preserve">54-56</t>
        </is>
      </c>
      <c r="G1015">
        <v>8</v>
      </c>
      <c r="H1015" s="2">
        <v>33.0</v>
      </c>
      <c r="I1015" t="inlineStr">
        <is>
          <t xml:space="preserve">100% Хлопок</t>
        </is>
      </c>
      <c r="J1015"/>
      <c r="K1015" t="inlineStr">
        <is>
          <t xml:space="preserve">Бангладеш</t>
        </is>
      </c>
      <c r="L1015" t="inlineStr">
        <is>
          <t xml:space="preserve">6110209100</t>
        </is>
      </c>
      <c r="M1015" t="inlineStr">
        <is>
          <t xml:space="preserve">Декларация № ЕАЭС № BY/112 11.01. ТР017 122.01 08246, до 19.04.2028</t>
        </is>
      </c>
      <c r="N1015" t="inlineStr">
        <is>
          <t xml:space="preserve">28 × 12 × 11</t>
        </is>
      </c>
      <c r="O1015" t="inlineStr">
        <is>
          <t xml:space="preserve">0,51</t>
        </is>
      </c>
      <c r="P1015" t="inlineStr">
        <is>
          <t xml:space="preserve">4816148185709</t>
        </is>
      </c>
      <c r="Q1015" s="3" t="str">
        <f>HYPERLINK("https://modify.by/img/1543971528/1.webp","фото")</f>
        <v>фото</v>
      </c>
      <c r="R1015" s="3" t="str">
        <f>HYPERLINK("https://modify.by/catalog/svitery/1543971528/?utm_source=price&amp;utm_medium=xlsx","открыть")</f>
        <v>открыть</v>
      </c>
    </row>
    <row r="1016">
      <c r="A1016" t="inlineStr">
        <is>
          <t xml:space="preserve">Мужской</t>
        </is>
      </c>
      <c r="B1016" t="inlineStr">
        <is>
          <t xml:space="preserve">Свитеры</t>
        </is>
      </c>
      <c r="C1016" t="inlineStr">
        <is>
          <t xml:space="preserve">Пуловер классический хлопковый с V-образным вырезом, серо-голубой</t>
        </is>
      </c>
      <c r="D1016" t="inlineStr">
        <is>
          <t xml:space="preserve">SW62M05Серо-голубой</t>
        </is>
      </c>
      <c r="E1016" t="inlineStr">
        <is>
          <t xml:space="preserve">серо-голубой</t>
        </is>
      </c>
      <c r="F1016" t="inlineStr">
        <is>
          <t xml:space="preserve">56-58</t>
        </is>
      </c>
      <c r="G1016">
        <v>2</v>
      </c>
      <c r="H1016" s="2">
        <v>33.0</v>
      </c>
      <c r="I1016" t="inlineStr">
        <is>
          <t xml:space="preserve">100% Хлопок</t>
        </is>
      </c>
      <c r="J1016"/>
      <c r="K1016" t="inlineStr">
        <is>
          <t xml:space="preserve">Бангладеш</t>
        </is>
      </c>
      <c r="L1016" t="inlineStr">
        <is>
          <t xml:space="preserve">6110209100</t>
        </is>
      </c>
      <c r="M1016" t="inlineStr">
        <is>
          <t xml:space="preserve">Декларация № ЕАЭС № BY/112 11.01. ТР017 122.01 08246, до 19.04.2028</t>
        </is>
      </c>
      <c r="N1016" t="inlineStr">
        <is>
          <t xml:space="preserve">28 × 12 × 11</t>
        </is>
      </c>
      <c r="O1016" t="inlineStr">
        <is>
          <t xml:space="preserve">0,51</t>
        </is>
      </c>
      <c r="P1016" t="inlineStr">
        <is>
          <t xml:space="preserve">4816148185716</t>
        </is>
      </c>
      <c r="Q1016" s="3" t="str">
        <f>HYPERLINK("https://modify.by/img/1543971528/1.webp","фото")</f>
        <v>фото</v>
      </c>
      <c r="R1016" s="3" t="str">
        <f>HYPERLINK("https://modify.by/catalog/svitery/1543971528/?utm_source=price&amp;utm_medium=xlsx","открыть")</f>
        <v>открыть</v>
      </c>
    </row>
    <row r="1017">
      <c r="A1017" t="inlineStr">
        <is>
          <t xml:space="preserve">Мужской</t>
        </is>
      </c>
      <c r="B1017" t="inlineStr">
        <is>
          <t xml:space="preserve">Свитеры</t>
        </is>
      </c>
      <c r="C1017" t="inlineStr">
        <is>
          <t xml:space="preserve">Свитер базовый V-образный вырез хлопок, темно-синий</t>
        </is>
      </c>
      <c r="D1017" t="inlineStr">
        <is>
          <t xml:space="preserve">SW42M05темно-синий</t>
        </is>
      </c>
      <c r="E1017" t="inlineStr">
        <is>
          <t xml:space="preserve">темно-синий</t>
        </is>
      </c>
      <c r="F1017" t="inlineStr">
        <is>
          <t xml:space="preserve">48</t>
        </is>
      </c>
      <c r="G1017">
        <v>1</v>
      </c>
      <c r="H1017" s="2">
        <v>28.0</v>
      </c>
      <c r="I1017" t="inlineStr">
        <is>
          <t xml:space="preserve">100% хлопок</t>
        </is>
      </c>
      <c r="J1017"/>
      <c r="K1017" t="inlineStr">
        <is>
          <t xml:space="preserve">Бангладеш</t>
        </is>
      </c>
      <c r="L1017" t="inlineStr">
        <is>
          <t xml:space="preserve">6110209100</t>
        </is>
      </c>
      <c r="M1017" t="inlineStr">
        <is>
          <t xml:space="preserve">Декларация № ЕАЭС № BY/112 11.01. ТР017 122.01 08246, до 19.04.2028</t>
        </is>
      </c>
      <c r="N1017" t="inlineStr">
        <is>
          <t xml:space="preserve">35 × 26 × 2</t>
        </is>
      </c>
      <c r="O1017" t="inlineStr">
        <is>
          <t xml:space="preserve">0,39</t>
        </is>
      </c>
      <c r="P1017" t="inlineStr">
        <is>
          <t xml:space="preserve">4816148135360</t>
        </is>
      </c>
      <c r="Q1017" s="3" t="str">
        <f>HYPERLINK("https://modify.by/img/258252196/1.webp","фото")</f>
        <v>фото</v>
      </c>
      <c r="R1017" s="3" t="str">
        <f>HYPERLINK("https://modify.by/catalog/svitery/258252196/?utm_source=price&amp;utm_medium=xlsx","открыть")</f>
        <v>открыть</v>
      </c>
    </row>
    <row r="1018">
      <c r="A1018" t="inlineStr">
        <is>
          <t xml:space="preserve">Мужской</t>
        </is>
      </c>
      <c r="B1018" t="inlineStr">
        <is>
          <t xml:space="preserve">Свитеры</t>
        </is>
      </c>
      <c r="C1018" t="inlineStr">
        <is>
          <t xml:space="preserve">Свитер базовый V-образный вырез хлопок, темно-синий</t>
        </is>
      </c>
      <c r="D1018" t="inlineStr">
        <is>
          <t xml:space="preserve">SW42M05темно-синий</t>
        </is>
      </c>
      <c r="E1018" t="inlineStr">
        <is>
          <t xml:space="preserve">темно-синий</t>
        </is>
      </c>
      <c r="F1018" t="inlineStr">
        <is>
          <t xml:space="preserve">50</t>
        </is>
      </c>
      <c r="G1018">
        <v>22</v>
      </c>
      <c r="H1018" s="2">
        <v>28.0</v>
      </c>
      <c r="I1018" t="inlineStr">
        <is>
          <t xml:space="preserve">100% хлопок</t>
        </is>
      </c>
      <c r="J1018"/>
      <c r="K1018" t="inlineStr">
        <is>
          <t xml:space="preserve">Бангладеш</t>
        </is>
      </c>
      <c r="L1018" t="inlineStr">
        <is>
          <t xml:space="preserve">6110209100</t>
        </is>
      </c>
      <c r="M1018" t="inlineStr">
        <is>
          <t xml:space="preserve">Декларация № ЕАЭС № BY/112 11.01. ТР017 122.01 08246, до 19.04.2028</t>
        </is>
      </c>
      <c r="N1018" t="inlineStr">
        <is>
          <t xml:space="preserve">35 × 26 × 2</t>
        </is>
      </c>
      <c r="O1018" t="inlineStr">
        <is>
          <t xml:space="preserve">0,39</t>
        </is>
      </c>
      <c r="P1018" t="inlineStr">
        <is>
          <t xml:space="preserve">4816148135377</t>
        </is>
      </c>
      <c r="Q1018" s="3" t="str">
        <f>HYPERLINK("https://modify.by/img/258252196/1.webp","фото")</f>
        <v>фото</v>
      </c>
      <c r="R1018" s="3" t="str">
        <f>HYPERLINK("https://modify.by/catalog/svitery/258252196/?utm_source=price&amp;utm_medium=xlsx","открыть")</f>
        <v>открыть</v>
      </c>
    </row>
    <row r="1019">
      <c r="A1019" t="inlineStr">
        <is>
          <t xml:space="preserve">Мужской</t>
        </is>
      </c>
      <c r="B1019" t="inlineStr">
        <is>
          <t xml:space="preserve">Свитеры</t>
        </is>
      </c>
      <c r="C1019" t="inlineStr">
        <is>
          <t xml:space="preserve">Свитер базовый V-образный вырез хлопок, хаки</t>
        </is>
      </c>
      <c r="D1019" t="inlineStr">
        <is>
          <t xml:space="preserve">SW42M05Хаки</t>
        </is>
      </c>
      <c r="E1019" t="inlineStr">
        <is>
          <t xml:space="preserve">хаки</t>
        </is>
      </c>
      <c r="F1019" t="inlineStr">
        <is>
          <t xml:space="preserve">50</t>
        </is>
      </c>
      <c r="G1019">
        <v>39</v>
      </c>
      <c r="H1019" s="2">
        <v>28.0</v>
      </c>
      <c r="I1019" t="inlineStr">
        <is>
          <t xml:space="preserve">100% хлопок</t>
        </is>
      </c>
      <c r="J1019"/>
      <c r="K1019" t="inlineStr">
        <is>
          <t xml:space="preserve">Бангладеш</t>
        </is>
      </c>
      <c r="L1019" t="inlineStr">
        <is>
          <t xml:space="preserve">6110209100</t>
        </is>
      </c>
      <c r="M1019" t="inlineStr">
        <is>
          <t xml:space="preserve">Декларация № ЕАЭС № BY/112 11.01. ТР017 122.01 08246, до 19.04.2028</t>
        </is>
      </c>
      <c r="N1019" t="inlineStr">
        <is>
          <t xml:space="preserve">35 × 26 × 2</t>
        </is>
      </c>
      <c r="O1019" t="inlineStr">
        <is>
          <t xml:space="preserve">0,39</t>
        </is>
      </c>
      <c r="P1019" t="inlineStr">
        <is>
          <t xml:space="preserve">4816148135278</t>
        </is>
      </c>
      <c r="Q1019" s="3" t="str">
        <f>HYPERLINK("https://modify.by/img/258252194/1.webp","фото")</f>
        <v>фото</v>
      </c>
      <c r="R1019" s="3" t="str">
        <f>HYPERLINK("https://modify.by/catalog/svitery/258252194/?utm_source=price&amp;utm_medium=xlsx","открыть")</f>
        <v>открыть</v>
      </c>
    </row>
    <row r="1020">
      <c r="A1020" t="inlineStr">
        <is>
          <t xml:space="preserve">Мужской</t>
        </is>
      </c>
      <c r="B1020" t="inlineStr">
        <is>
          <t xml:space="preserve">Свитеры</t>
        </is>
      </c>
      <c r="C1020" t="inlineStr">
        <is>
          <t xml:space="preserve">Свитер базовый с воротником на молнии, зеленый</t>
        </is>
      </c>
      <c r="D1020" t="inlineStr">
        <is>
          <t xml:space="preserve">SW62M08зеленый</t>
        </is>
      </c>
      <c r="E1020" t="inlineStr">
        <is>
          <t xml:space="preserve">зеленый, темно-зеленый, бутылочный, мох</t>
        </is>
      </c>
      <c r="F1020" t="inlineStr">
        <is>
          <t xml:space="preserve">50</t>
        </is>
      </c>
      <c r="G1020">
        <v>13</v>
      </c>
      <c r="H1020" s="2">
        <v>37.0</v>
      </c>
      <c r="I1020" t="inlineStr">
        <is>
          <t xml:space="preserve">50% хлопок, 50%акрил</t>
        </is>
      </c>
      <c r="J1020"/>
      <c r="K1020" t="inlineStr">
        <is>
          <t xml:space="preserve">Бангладеш</t>
        </is>
      </c>
      <c r="L1020" t="inlineStr">
        <is>
          <t xml:space="preserve">6110309100</t>
        </is>
      </c>
      <c r="M1020" t="inlineStr">
        <is>
          <t xml:space="preserve">Декларация № ЕАЭС № BY/112 11.01. ТР017 122.01 08246, до 19.04.2028</t>
        </is>
      </c>
      <c r="N1020" t="inlineStr">
        <is>
          <t xml:space="preserve">40 × 30 × 4</t>
        </is>
      </c>
      <c r="O1020" t="inlineStr">
        <is>
          <t xml:space="preserve">0,48</t>
        </is>
      </c>
      <c r="P1020" t="inlineStr">
        <is>
          <t xml:space="preserve">4816148173317</t>
        </is>
      </c>
      <c r="Q1020" s="3" t="str">
        <f>HYPERLINK("https://modify.by/img/685816469/1.webp","фото")</f>
        <v>фото</v>
      </c>
      <c r="R1020" s="3" t="str">
        <f>HYPERLINK("https://modify.by/catalog/svitery/685816469/?utm_source=price&amp;utm_medium=xlsx","открыть")</f>
        <v>открыть</v>
      </c>
    </row>
    <row r="1021">
      <c r="A1021" t="inlineStr">
        <is>
          <t xml:space="preserve">Мужской</t>
        </is>
      </c>
      <c r="B1021" t="inlineStr">
        <is>
          <t xml:space="preserve">Свитеры</t>
        </is>
      </c>
      <c r="C1021" t="inlineStr">
        <is>
          <t xml:space="preserve">Свитер базовый с воротником на молнии, зеленый</t>
        </is>
      </c>
      <c r="D1021" t="inlineStr">
        <is>
          <t xml:space="preserve">SW62M08зеленый</t>
        </is>
      </c>
      <c r="E1021" t="inlineStr">
        <is>
          <t xml:space="preserve">зеленый, темно-зеленый, бутылочный, мох</t>
        </is>
      </c>
      <c r="F1021" t="inlineStr">
        <is>
          <t xml:space="preserve">52</t>
        </is>
      </c>
      <c r="G1021">
        <v>42</v>
      </c>
      <c r="H1021" s="2">
        <v>37.0</v>
      </c>
      <c r="I1021" t="inlineStr">
        <is>
          <t xml:space="preserve">50% хлопок, 50%акрил</t>
        </is>
      </c>
      <c r="J1021"/>
      <c r="K1021" t="inlineStr">
        <is>
          <t xml:space="preserve">Бангладеш</t>
        </is>
      </c>
      <c r="L1021" t="inlineStr">
        <is>
          <t xml:space="preserve">6110309100</t>
        </is>
      </c>
      <c r="M1021" t="inlineStr">
        <is>
          <t xml:space="preserve">Декларация № ЕАЭС № BY/112 11.01. ТР017 122.01 08246, до 19.04.2028</t>
        </is>
      </c>
      <c r="N1021" t="inlineStr">
        <is>
          <t xml:space="preserve">40 × 30 × 4</t>
        </is>
      </c>
      <c r="O1021" t="inlineStr">
        <is>
          <t xml:space="preserve">0,48</t>
        </is>
      </c>
      <c r="P1021" t="inlineStr">
        <is>
          <t xml:space="preserve">4816148173324</t>
        </is>
      </c>
      <c r="Q1021" s="3" t="str">
        <f>HYPERLINK("https://modify.by/img/685816469/1.webp","фото")</f>
        <v>фото</v>
      </c>
      <c r="R1021" s="3" t="str">
        <f>HYPERLINK("https://modify.by/catalog/svitery/685816469/?utm_source=price&amp;utm_medium=xlsx","открыть")</f>
        <v>открыть</v>
      </c>
    </row>
    <row r="1022">
      <c r="A1022" t="inlineStr">
        <is>
          <t xml:space="preserve">Мужской</t>
        </is>
      </c>
      <c r="B1022" t="inlineStr">
        <is>
          <t xml:space="preserve">Свитеры</t>
        </is>
      </c>
      <c r="C1022" t="inlineStr">
        <is>
          <t xml:space="preserve">Свитер базовый с воротником на молнии, зеленый</t>
        </is>
      </c>
      <c r="D1022" t="inlineStr">
        <is>
          <t xml:space="preserve">SW62M08зеленый</t>
        </is>
      </c>
      <c r="E1022" t="inlineStr">
        <is>
          <t xml:space="preserve">зеленый, темно-зеленый, бутылочный, мох</t>
        </is>
      </c>
      <c r="F1022" t="inlineStr">
        <is>
          <t xml:space="preserve">54</t>
        </is>
      </c>
      <c r="G1022">
        <v>39</v>
      </c>
      <c r="H1022" s="2">
        <v>37.0</v>
      </c>
      <c r="I1022" t="inlineStr">
        <is>
          <t xml:space="preserve">50% хлопок, 50%акрил</t>
        </is>
      </c>
      <c r="J1022"/>
      <c r="K1022" t="inlineStr">
        <is>
          <t xml:space="preserve">Бангладеш</t>
        </is>
      </c>
      <c r="L1022" t="inlineStr">
        <is>
          <t xml:space="preserve">6110309100</t>
        </is>
      </c>
      <c r="M1022" t="inlineStr">
        <is>
          <t xml:space="preserve">Декларация № ЕАЭС № BY/112 11.01. ТР017 122.01 08246, до 19.04.2028</t>
        </is>
      </c>
      <c r="N1022" t="inlineStr">
        <is>
          <t xml:space="preserve">40 × 30 × 4</t>
        </is>
      </c>
      <c r="O1022" t="inlineStr">
        <is>
          <t xml:space="preserve">0,48</t>
        </is>
      </c>
      <c r="P1022" t="inlineStr">
        <is>
          <t xml:space="preserve">4816148173331</t>
        </is>
      </c>
      <c r="Q1022" s="3" t="str">
        <f>HYPERLINK("https://modify.by/img/685816469/1.webp","фото")</f>
        <v>фото</v>
      </c>
      <c r="R1022" s="3" t="str">
        <f>HYPERLINK("https://modify.by/catalog/svitery/685816469/?utm_source=price&amp;utm_medium=xlsx","открыть")</f>
        <v>открыть</v>
      </c>
    </row>
    <row r="1023">
      <c r="A1023" t="inlineStr">
        <is>
          <t xml:space="preserve">Мужской</t>
        </is>
      </c>
      <c r="B1023" t="inlineStr">
        <is>
          <t xml:space="preserve">Свитеры</t>
        </is>
      </c>
      <c r="C1023" t="inlineStr">
        <is>
          <t xml:space="preserve">Свитер базовый с воротником на молнии, зеленый</t>
        </is>
      </c>
      <c r="D1023" t="inlineStr">
        <is>
          <t xml:space="preserve">SW62M08зеленый</t>
        </is>
      </c>
      <c r="E1023" t="inlineStr">
        <is>
          <t xml:space="preserve">зеленый, темно-зеленый, бутылочный, мох</t>
        </is>
      </c>
      <c r="F1023" t="inlineStr">
        <is>
          <t xml:space="preserve">56</t>
        </is>
      </c>
      <c r="G1023">
        <v>23</v>
      </c>
      <c r="H1023" s="2">
        <v>37.0</v>
      </c>
      <c r="I1023" t="inlineStr">
        <is>
          <t xml:space="preserve">50% хлопок, 50%акрил</t>
        </is>
      </c>
      <c r="J1023"/>
      <c r="K1023" t="inlineStr">
        <is>
          <t xml:space="preserve">Бангладеш</t>
        </is>
      </c>
      <c r="L1023" t="inlineStr">
        <is>
          <t xml:space="preserve">6110309100</t>
        </is>
      </c>
      <c r="M1023" t="inlineStr">
        <is>
          <t xml:space="preserve">Декларация № ЕАЭС № BY/112 11.01. ТР017 122.01 08246, до 19.04.2028</t>
        </is>
      </c>
      <c r="N1023" t="inlineStr">
        <is>
          <t xml:space="preserve">40 × 30 × 4</t>
        </is>
      </c>
      <c r="O1023" t="inlineStr">
        <is>
          <t xml:space="preserve">0,48</t>
        </is>
      </c>
      <c r="P1023" t="inlineStr">
        <is>
          <t xml:space="preserve">4816148173348</t>
        </is>
      </c>
      <c r="Q1023" s="3" t="str">
        <f>HYPERLINK("https://modify.by/img/685816469/1.webp","фото")</f>
        <v>фото</v>
      </c>
      <c r="R1023" s="3" t="str">
        <f>HYPERLINK("https://modify.by/catalog/svitery/685816469/?utm_source=price&amp;utm_medium=xlsx","открыть")</f>
        <v>открыть</v>
      </c>
    </row>
    <row r="1024">
      <c r="A1024" t="inlineStr">
        <is>
          <t xml:space="preserve">Мужской</t>
        </is>
      </c>
      <c r="B1024" t="inlineStr">
        <is>
          <t xml:space="preserve">Свитеры</t>
        </is>
      </c>
      <c r="C1024" t="inlineStr">
        <is>
          <t xml:space="preserve">Свитер базовый с воротником на молнии, кирпичный</t>
        </is>
      </c>
      <c r="D1024" t="inlineStr">
        <is>
          <t xml:space="preserve">SW62M08кирпичный</t>
        </is>
      </c>
      <c r="E1024" t="inlineStr">
        <is>
          <t xml:space="preserve">кирпичный, терракотовый</t>
        </is>
      </c>
      <c r="F1024" t="inlineStr">
        <is>
          <t xml:space="preserve">52</t>
        </is>
      </c>
      <c r="G1024">
        <v>13</v>
      </c>
      <c r="H1024" s="2">
        <v>37.0</v>
      </c>
      <c r="I1024" t="inlineStr">
        <is>
          <t xml:space="preserve">50% хлопок, 50%акрил</t>
        </is>
      </c>
      <c r="J1024"/>
      <c r="K1024" t="inlineStr">
        <is>
          <t xml:space="preserve">Бангладеш</t>
        </is>
      </c>
      <c r="L1024" t="inlineStr">
        <is>
          <t xml:space="preserve">6110309100</t>
        </is>
      </c>
      <c r="M1024" t="inlineStr">
        <is>
          <t xml:space="preserve">Декларация № ЕАЭС № BY/112 11.01. ТР017 122.01 08246, до 19.04.2028</t>
        </is>
      </c>
      <c r="N1024" t="inlineStr">
        <is>
          <t xml:space="preserve">40 × 30 × 4</t>
        </is>
      </c>
      <c r="O1024" t="inlineStr">
        <is>
          <t xml:space="preserve">0,48</t>
        </is>
      </c>
      <c r="P1024" t="inlineStr">
        <is>
          <t xml:space="preserve">4816148173270</t>
        </is>
      </c>
      <c r="Q1024" s="3" t="str">
        <f>HYPERLINK("https://modify.by/img/685816468/1.webp","фото")</f>
        <v>фото</v>
      </c>
      <c r="R1024" s="3" t="str">
        <f>HYPERLINK("https://modify.by/catalog/svitery/685816468/?utm_source=price&amp;utm_medium=xlsx","открыть")</f>
        <v>открыть</v>
      </c>
    </row>
    <row r="1025">
      <c r="A1025" t="inlineStr">
        <is>
          <t xml:space="preserve">Мужской</t>
        </is>
      </c>
      <c r="B1025" t="inlineStr">
        <is>
          <t xml:space="preserve">Свитеры</t>
        </is>
      </c>
      <c r="C1025" t="inlineStr">
        <is>
          <t xml:space="preserve">Свитер базовый с воротником на молнии, кирпичный</t>
        </is>
      </c>
      <c r="D1025" t="inlineStr">
        <is>
          <t xml:space="preserve">SW62M08кирпичный</t>
        </is>
      </c>
      <c r="E1025" t="inlineStr">
        <is>
          <t xml:space="preserve">кирпичный, терракотовый</t>
        </is>
      </c>
      <c r="F1025" t="inlineStr">
        <is>
          <t xml:space="preserve">54</t>
        </is>
      </c>
      <c r="G1025">
        <v>6</v>
      </c>
      <c r="H1025" s="2">
        <v>37.0</v>
      </c>
      <c r="I1025" t="inlineStr">
        <is>
          <t xml:space="preserve">50% хлопок, 50%акрил</t>
        </is>
      </c>
      <c r="J1025"/>
      <c r="K1025" t="inlineStr">
        <is>
          <t xml:space="preserve">Бангладеш</t>
        </is>
      </c>
      <c r="L1025" t="inlineStr">
        <is>
          <t xml:space="preserve">6110309100</t>
        </is>
      </c>
      <c r="M1025" t="inlineStr">
        <is>
          <t xml:space="preserve">Декларация № ЕАЭС № BY/112 11.01. ТР017 122.01 08246, до 19.04.2028</t>
        </is>
      </c>
      <c r="N1025" t="inlineStr">
        <is>
          <t xml:space="preserve">40 × 30 × 4</t>
        </is>
      </c>
      <c r="O1025" t="inlineStr">
        <is>
          <t xml:space="preserve">0,48</t>
        </is>
      </c>
      <c r="P1025" t="inlineStr">
        <is>
          <t xml:space="preserve">4816148173287</t>
        </is>
      </c>
      <c r="Q1025" s="3" t="str">
        <f>HYPERLINK("https://modify.by/img/685816468/1.webp","фото")</f>
        <v>фото</v>
      </c>
      <c r="R1025" s="3" t="str">
        <f>HYPERLINK("https://modify.by/catalog/svitery/685816468/?utm_source=price&amp;utm_medium=xlsx","открыть")</f>
        <v>открыть</v>
      </c>
    </row>
    <row r="1026">
      <c r="A1026" t="inlineStr">
        <is>
          <t xml:space="preserve">Мужской</t>
        </is>
      </c>
      <c r="B1026" t="inlineStr">
        <is>
          <t xml:space="preserve">Свитеры</t>
        </is>
      </c>
      <c r="C1026" t="inlineStr">
        <is>
          <t xml:space="preserve">Свитер базовый с воротником на молнии, оливковый</t>
        </is>
      </c>
      <c r="D1026" t="inlineStr">
        <is>
          <t xml:space="preserve">SW62M08оливковый</t>
        </is>
      </c>
      <c r="E1026" t="inlineStr">
        <is>
          <t xml:space="preserve">оливковый</t>
        </is>
      </c>
      <c r="F1026" t="inlineStr">
        <is>
          <t xml:space="preserve">50</t>
        </is>
      </c>
      <c r="G1026">
        <v>11</v>
      </c>
      <c r="H1026" s="2">
        <v>37.0</v>
      </c>
      <c r="I1026" t="inlineStr">
        <is>
          <t xml:space="preserve">50% хлопок, 50%акрил</t>
        </is>
      </c>
      <c r="J1026"/>
      <c r="K1026" t="inlineStr">
        <is>
          <t xml:space="preserve">Бангладеш</t>
        </is>
      </c>
      <c r="L1026" t="inlineStr">
        <is>
          <t xml:space="preserve">6110309100</t>
        </is>
      </c>
      <c r="M1026" t="inlineStr">
        <is>
          <t xml:space="preserve">Декларация № ЕАЭС № BY/112 11.01. ТР017 122.01 08246, до 19.04.2028</t>
        </is>
      </c>
      <c r="N1026" t="inlineStr">
        <is>
          <t xml:space="preserve">40 × 30 × 4</t>
        </is>
      </c>
      <c r="O1026" t="inlineStr">
        <is>
          <t xml:space="preserve">0,48</t>
        </is>
      </c>
      <c r="P1026" t="inlineStr">
        <is>
          <t xml:space="preserve">4816148173416</t>
        </is>
      </c>
      <c r="Q1026" s="3" t="str">
        <f>HYPERLINK("https://modify.by/img/685816471/1.webp","фото")</f>
        <v>фото</v>
      </c>
      <c r="R1026" s="3" t="str">
        <f>HYPERLINK("https://modify.by/catalog/svitery/685816471/?utm_source=price&amp;utm_medium=xlsx","открыть")</f>
        <v>открыть</v>
      </c>
    </row>
    <row r="1027">
      <c r="A1027" t="inlineStr">
        <is>
          <t xml:space="preserve">Мужской</t>
        </is>
      </c>
      <c r="B1027" t="inlineStr">
        <is>
          <t xml:space="preserve">Свитеры</t>
        </is>
      </c>
      <c r="C1027" t="inlineStr">
        <is>
          <t xml:space="preserve">Свитер базовый с воротником на молнии, оливковый</t>
        </is>
      </c>
      <c r="D1027" t="inlineStr">
        <is>
          <t xml:space="preserve">SW62M08оливковый</t>
        </is>
      </c>
      <c r="E1027" t="inlineStr">
        <is>
          <t xml:space="preserve">оливковый</t>
        </is>
      </c>
      <c r="F1027" t="inlineStr">
        <is>
          <t xml:space="preserve">52</t>
        </is>
      </c>
      <c r="G1027">
        <v>23</v>
      </c>
      <c r="H1027" s="2">
        <v>37.0</v>
      </c>
      <c r="I1027" t="inlineStr">
        <is>
          <t xml:space="preserve">50% хлопок, 50%акрил</t>
        </is>
      </c>
      <c r="J1027"/>
      <c r="K1027" t="inlineStr">
        <is>
          <t xml:space="preserve">Бангладеш</t>
        </is>
      </c>
      <c r="L1027" t="inlineStr">
        <is>
          <t xml:space="preserve">6110309100</t>
        </is>
      </c>
      <c r="M1027" t="inlineStr">
        <is>
          <t xml:space="preserve">Декларация № ЕАЭС № BY/112 11.01. ТР017 122.01 08246, до 19.04.2028</t>
        </is>
      </c>
      <c r="N1027" t="inlineStr">
        <is>
          <t xml:space="preserve">40 × 30 × 4</t>
        </is>
      </c>
      <c r="O1027" t="inlineStr">
        <is>
          <t xml:space="preserve">0,48</t>
        </is>
      </c>
      <c r="P1027" t="inlineStr">
        <is>
          <t xml:space="preserve">4816148173423</t>
        </is>
      </c>
      <c r="Q1027" s="3" t="str">
        <f>HYPERLINK("https://modify.by/img/685816471/1.webp","фото")</f>
        <v>фото</v>
      </c>
      <c r="R1027" s="3" t="str">
        <f>HYPERLINK("https://modify.by/catalog/svitery/685816471/?utm_source=price&amp;utm_medium=xlsx","открыть")</f>
        <v>открыть</v>
      </c>
    </row>
    <row r="1028">
      <c r="A1028" t="inlineStr">
        <is>
          <t xml:space="preserve">Мужской</t>
        </is>
      </c>
      <c r="B1028" t="inlineStr">
        <is>
          <t xml:space="preserve">Свитеры</t>
        </is>
      </c>
      <c r="C1028" t="inlineStr">
        <is>
          <t xml:space="preserve">Свитер базовый с воротником на молнии, оливковый</t>
        </is>
      </c>
      <c r="D1028" t="inlineStr">
        <is>
          <t xml:space="preserve">SW62M08оливковый</t>
        </is>
      </c>
      <c r="E1028" t="inlineStr">
        <is>
          <t xml:space="preserve">оливковый</t>
        </is>
      </c>
      <c r="F1028" t="inlineStr">
        <is>
          <t xml:space="preserve">54</t>
        </is>
      </c>
      <c r="G1028">
        <v>41</v>
      </c>
      <c r="H1028" s="2">
        <v>37.0</v>
      </c>
      <c r="I1028" t="inlineStr">
        <is>
          <t xml:space="preserve">50% хлопок, 50%акрил</t>
        </is>
      </c>
      <c r="J1028"/>
      <c r="K1028" t="inlineStr">
        <is>
          <t xml:space="preserve">Бангладеш</t>
        </is>
      </c>
      <c r="L1028" t="inlineStr">
        <is>
          <t xml:space="preserve">6110309100</t>
        </is>
      </c>
      <c r="M1028" t="inlineStr">
        <is>
          <t xml:space="preserve">Декларация № ЕАЭС № BY/112 11.01. ТР017 122.01 08246, до 19.04.2028</t>
        </is>
      </c>
      <c r="N1028" t="inlineStr">
        <is>
          <t xml:space="preserve">40 × 30 × 4</t>
        </is>
      </c>
      <c r="O1028" t="inlineStr">
        <is>
          <t xml:space="preserve">0,48</t>
        </is>
      </c>
      <c r="P1028" t="inlineStr">
        <is>
          <t xml:space="preserve">4816148173430</t>
        </is>
      </c>
      <c r="Q1028" s="3" t="str">
        <f>HYPERLINK("https://modify.by/img/685816471/1.webp","фото")</f>
        <v>фото</v>
      </c>
      <c r="R1028" s="3" t="str">
        <f>HYPERLINK("https://modify.by/catalog/svitery/685816471/?utm_source=price&amp;utm_medium=xlsx","открыть")</f>
        <v>открыть</v>
      </c>
    </row>
    <row r="1029">
      <c r="A1029" t="inlineStr">
        <is>
          <t xml:space="preserve">Мужской</t>
        </is>
      </c>
      <c r="B1029" t="inlineStr">
        <is>
          <t xml:space="preserve">Свитеры</t>
        </is>
      </c>
      <c r="C1029" t="inlineStr">
        <is>
          <t xml:space="preserve">Свитер базовый с воротником на молнии, оливковый</t>
        </is>
      </c>
      <c r="D1029" t="inlineStr">
        <is>
          <t xml:space="preserve">SW62M08оливковый</t>
        </is>
      </c>
      <c r="E1029" t="inlineStr">
        <is>
          <t xml:space="preserve">оливковый</t>
        </is>
      </c>
      <c r="F1029" t="inlineStr">
        <is>
          <t xml:space="preserve">56</t>
        </is>
      </c>
      <c r="G1029">
        <v>17</v>
      </c>
      <c r="H1029" s="2">
        <v>37.0</v>
      </c>
      <c r="I1029" t="inlineStr">
        <is>
          <t xml:space="preserve">50% хлопок, 50%акрил</t>
        </is>
      </c>
      <c r="J1029"/>
      <c r="K1029" t="inlineStr">
        <is>
          <t xml:space="preserve">Бангладеш</t>
        </is>
      </c>
      <c r="L1029" t="inlineStr">
        <is>
          <t xml:space="preserve">6110309100</t>
        </is>
      </c>
      <c r="M1029" t="inlineStr">
        <is>
          <t xml:space="preserve">Декларация № ЕАЭС № BY/112 11.01. ТР017 122.01 08246, до 19.04.2028</t>
        </is>
      </c>
      <c r="N1029" t="inlineStr">
        <is>
          <t xml:space="preserve">40 × 30 × 4</t>
        </is>
      </c>
      <c r="O1029" t="inlineStr">
        <is>
          <t xml:space="preserve">0,48</t>
        </is>
      </c>
      <c r="P1029" t="inlineStr">
        <is>
          <t xml:space="preserve">4816148173447</t>
        </is>
      </c>
      <c r="Q1029" s="3" t="str">
        <f>HYPERLINK("https://modify.by/img/685816471/1.webp","фото")</f>
        <v>фото</v>
      </c>
      <c r="R1029" s="3" t="str">
        <f>HYPERLINK("https://modify.by/catalog/svitery/685816471/?utm_source=price&amp;utm_medium=xlsx","открыть")</f>
        <v>открыть</v>
      </c>
    </row>
    <row r="1030">
      <c r="A1030" t="inlineStr">
        <is>
          <t xml:space="preserve">Мужской</t>
        </is>
      </c>
      <c r="B1030" t="inlineStr">
        <is>
          <t xml:space="preserve">Свитеры</t>
        </is>
      </c>
      <c r="C1030" t="inlineStr">
        <is>
          <t xml:space="preserve">Свитер базовый с воротником на молнии, оливковый</t>
        </is>
      </c>
      <c r="D1030" t="inlineStr">
        <is>
          <t xml:space="preserve">SW62M08оливковый</t>
        </is>
      </c>
      <c r="E1030" t="inlineStr">
        <is>
          <t xml:space="preserve">оливковый</t>
        </is>
      </c>
      <c r="F1030" t="inlineStr">
        <is>
          <t xml:space="preserve">58</t>
        </is>
      </c>
      <c r="G1030">
        <v>1</v>
      </c>
      <c r="H1030" s="2">
        <v>37.0</v>
      </c>
      <c r="I1030" t="inlineStr">
        <is>
          <t xml:space="preserve">50% хлопок, 50%акрил</t>
        </is>
      </c>
      <c r="J1030"/>
      <c r="K1030" t="inlineStr">
        <is>
          <t xml:space="preserve">Бангладеш</t>
        </is>
      </c>
      <c r="L1030" t="inlineStr">
        <is>
          <t xml:space="preserve">6110309100</t>
        </is>
      </c>
      <c r="M1030" t="inlineStr">
        <is>
          <t xml:space="preserve">Декларация № ЕАЭС № BY/112 11.01. ТР017 122.01 08246, до 19.04.2028</t>
        </is>
      </c>
      <c r="N1030" t="inlineStr">
        <is>
          <t xml:space="preserve">40 × 30 × 4</t>
        </is>
      </c>
      <c r="O1030" t="inlineStr">
        <is>
          <t xml:space="preserve">0,48</t>
        </is>
      </c>
      <c r="P1030" t="inlineStr">
        <is>
          <t xml:space="preserve">4816148173454</t>
        </is>
      </c>
      <c r="Q1030" s="3" t="str">
        <f>HYPERLINK("https://modify.by/img/685816471/1.webp","фото")</f>
        <v>фото</v>
      </c>
      <c r="R1030" s="3" t="str">
        <f>HYPERLINK("https://modify.by/catalog/svitery/685816471/?utm_source=price&amp;utm_medium=xlsx","открыть")</f>
        <v>открыть</v>
      </c>
    </row>
    <row r="1031">
      <c r="A1031" t="inlineStr">
        <is>
          <t xml:space="preserve">Мужской</t>
        </is>
      </c>
      <c r="B1031" t="inlineStr">
        <is>
          <t xml:space="preserve">Свитеры</t>
        </is>
      </c>
      <c r="C1031" t="inlineStr">
        <is>
          <t xml:space="preserve">Свитер базовый с воротником на молнии, серый</t>
        </is>
      </c>
      <c r="D1031" t="inlineStr">
        <is>
          <t xml:space="preserve">SW62M08серый</t>
        </is>
      </c>
      <c r="E1031" t="inlineStr">
        <is>
          <t xml:space="preserve">серый</t>
        </is>
      </c>
      <c r="F1031" t="inlineStr">
        <is>
          <t xml:space="preserve">50</t>
        </is>
      </c>
      <c r="G1031">
        <v>8</v>
      </c>
      <c r="H1031" s="2">
        <v>37.0</v>
      </c>
      <c r="I1031" t="inlineStr">
        <is>
          <t xml:space="preserve">50% хлопок, 50%акрил</t>
        </is>
      </c>
      <c r="J1031"/>
      <c r="K1031" t="inlineStr">
        <is>
          <t xml:space="preserve">Бангладеш</t>
        </is>
      </c>
      <c r="L1031" t="inlineStr">
        <is>
          <t xml:space="preserve">6110309100</t>
        </is>
      </c>
      <c r="M1031" t="inlineStr">
        <is>
          <t xml:space="preserve">Декларация № ЕАЭС № BY/112 11.01. ТР017 122.01 08246, до 19.04.2028</t>
        </is>
      </c>
      <c r="N1031" t="inlineStr">
        <is>
          <t xml:space="preserve">40 × 30 × 4</t>
        </is>
      </c>
      <c r="O1031" t="inlineStr">
        <is>
          <t xml:space="preserve">0,48</t>
        </is>
      </c>
      <c r="P1031" t="inlineStr">
        <is>
          <t xml:space="preserve">4816148173362</t>
        </is>
      </c>
      <c r="Q1031" s="3" t="str">
        <f>HYPERLINK("https://modify.by/img/685816470/1.webp","фото")</f>
        <v>фото</v>
      </c>
      <c r="R1031" s="3" t="str">
        <f>HYPERLINK("https://modify.by/catalog/svitery/685816470/?utm_source=price&amp;utm_medium=xlsx","открыть")</f>
        <v>открыть</v>
      </c>
    </row>
    <row r="1032">
      <c r="A1032" t="inlineStr">
        <is>
          <t xml:space="preserve">Мужской</t>
        </is>
      </c>
      <c r="B1032" t="inlineStr">
        <is>
          <t xml:space="preserve">Свитеры</t>
        </is>
      </c>
      <c r="C1032" t="inlineStr">
        <is>
          <t xml:space="preserve">Свитер базовый с воротником на молнии, серый</t>
        </is>
      </c>
      <c r="D1032" t="inlineStr">
        <is>
          <t xml:space="preserve">SW62M08серый</t>
        </is>
      </c>
      <c r="E1032" t="inlineStr">
        <is>
          <t xml:space="preserve">серый</t>
        </is>
      </c>
      <c r="F1032" t="inlineStr">
        <is>
          <t xml:space="preserve">52</t>
        </is>
      </c>
      <c r="G1032">
        <v>32</v>
      </c>
      <c r="H1032" s="2">
        <v>37.0</v>
      </c>
      <c r="I1032" t="inlineStr">
        <is>
          <t xml:space="preserve">50% хлопок, 50%акрил</t>
        </is>
      </c>
      <c r="J1032"/>
      <c r="K1032" t="inlineStr">
        <is>
          <t xml:space="preserve">Бангладеш</t>
        </is>
      </c>
      <c r="L1032" t="inlineStr">
        <is>
          <t xml:space="preserve">6110309100</t>
        </is>
      </c>
      <c r="M1032" t="inlineStr">
        <is>
          <t xml:space="preserve">Декларация № ЕАЭС № BY/112 11.01. ТР017 122.01 08246, до 19.04.2028</t>
        </is>
      </c>
      <c r="N1032" t="inlineStr">
        <is>
          <t xml:space="preserve">40 × 30 × 4</t>
        </is>
      </c>
      <c r="O1032" t="inlineStr">
        <is>
          <t xml:space="preserve">0,48</t>
        </is>
      </c>
      <c r="P1032" t="inlineStr">
        <is>
          <t xml:space="preserve">4816148173379</t>
        </is>
      </c>
      <c r="Q1032" s="3" t="str">
        <f>HYPERLINK("https://modify.by/img/685816470/1.webp","фото")</f>
        <v>фото</v>
      </c>
      <c r="R1032" s="3" t="str">
        <f>HYPERLINK("https://modify.by/catalog/svitery/685816470/?utm_source=price&amp;utm_medium=xlsx","открыть")</f>
        <v>открыть</v>
      </c>
    </row>
    <row r="1033">
      <c r="A1033" t="inlineStr">
        <is>
          <t xml:space="preserve">Мужской</t>
        </is>
      </c>
      <c r="B1033" t="inlineStr">
        <is>
          <t xml:space="preserve">Свитеры</t>
        </is>
      </c>
      <c r="C1033" t="inlineStr">
        <is>
          <t xml:space="preserve">Свитер базовый с воротником на молнии, серый</t>
        </is>
      </c>
      <c r="D1033" t="inlineStr">
        <is>
          <t xml:space="preserve">SW62M08серый</t>
        </is>
      </c>
      <c r="E1033" t="inlineStr">
        <is>
          <t xml:space="preserve">серый</t>
        </is>
      </c>
      <c r="F1033" t="inlineStr">
        <is>
          <t xml:space="preserve">54</t>
        </is>
      </c>
      <c r="G1033">
        <v>27</v>
      </c>
      <c r="H1033" s="2">
        <v>37.0</v>
      </c>
      <c r="I1033" t="inlineStr">
        <is>
          <t xml:space="preserve">50% хлопок, 50%акрил</t>
        </is>
      </c>
      <c r="J1033"/>
      <c r="K1033" t="inlineStr">
        <is>
          <t xml:space="preserve">Бангладеш</t>
        </is>
      </c>
      <c r="L1033" t="inlineStr">
        <is>
          <t xml:space="preserve">6110309100</t>
        </is>
      </c>
      <c r="M1033" t="inlineStr">
        <is>
          <t xml:space="preserve">Декларация № ЕАЭС № BY/112 11.01. ТР017 122.01 08246, до 19.04.2028</t>
        </is>
      </c>
      <c r="N1033" t="inlineStr">
        <is>
          <t xml:space="preserve">40 × 30 × 4</t>
        </is>
      </c>
      <c r="O1033" t="inlineStr">
        <is>
          <t xml:space="preserve">0,48</t>
        </is>
      </c>
      <c r="P1033" t="inlineStr">
        <is>
          <t xml:space="preserve">4816148173386</t>
        </is>
      </c>
      <c r="Q1033" s="3" t="str">
        <f>HYPERLINK("https://modify.by/img/685816470/1.webp","фото")</f>
        <v>фото</v>
      </c>
      <c r="R1033" s="3" t="str">
        <f>HYPERLINK("https://modify.by/catalog/svitery/685816470/?utm_source=price&amp;utm_medium=xlsx","открыть")</f>
        <v>открыть</v>
      </c>
    </row>
    <row r="1034">
      <c r="A1034" t="inlineStr">
        <is>
          <t xml:space="preserve">Мужской</t>
        </is>
      </c>
      <c r="B1034" t="inlineStr">
        <is>
          <t xml:space="preserve">Свитеры</t>
        </is>
      </c>
      <c r="C1034" t="inlineStr">
        <is>
          <t xml:space="preserve">Свитер базовый с воротником на молнии, серый</t>
        </is>
      </c>
      <c r="D1034" t="inlineStr">
        <is>
          <t xml:space="preserve">SW62M08серый</t>
        </is>
      </c>
      <c r="E1034" t="inlineStr">
        <is>
          <t xml:space="preserve">серый</t>
        </is>
      </c>
      <c r="F1034" t="inlineStr">
        <is>
          <t xml:space="preserve">56</t>
        </is>
      </c>
      <c r="G1034">
        <v>17</v>
      </c>
      <c r="H1034" s="2">
        <v>37.0</v>
      </c>
      <c r="I1034" t="inlineStr">
        <is>
          <t xml:space="preserve">50% хлопок, 50%акрил</t>
        </is>
      </c>
      <c r="J1034"/>
      <c r="K1034" t="inlineStr">
        <is>
          <t xml:space="preserve">Бангладеш</t>
        </is>
      </c>
      <c r="L1034" t="inlineStr">
        <is>
          <t xml:space="preserve">6110309100</t>
        </is>
      </c>
      <c r="M1034" t="inlineStr">
        <is>
          <t xml:space="preserve">Декларация № ЕАЭС № BY/112 11.01. ТР017 122.01 08246, до 19.04.2028</t>
        </is>
      </c>
      <c r="N1034" t="inlineStr">
        <is>
          <t xml:space="preserve">40 × 30 × 4</t>
        </is>
      </c>
      <c r="O1034" t="inlineStr">
        <is>
          <t xml:space="preserve">0,48</t>
        </is>
      </c>
      <c r="P1034" t="inlineStr">
        <is>
          <t xml:space="preserve">4816148173393</t>
        </is>
      </c>
      <c r="Q1034" s="3" t="str">
        <f>HYPERLINK("https://modify.by/img/685816470/1.webp","фото")</f>
        <v>фото</v>
      </c>
      <c r="R1034" s="3" t="str">
        <f>HYPERLINK("https://modify.by/catalog/svitery/685816470/?utm_source=price&amp;utm_medium=xlsx","открыть")</f>
        <v>открыть</v>
      </c>
    </row>
    <row r="1035">
      <c r="A1035" t="inlineStr">
        <is>
          <t xml:space="preserve">Мужской</t>
        </is>
      </c>
      <c r="B1035" t="inlineStr">
        <is>
          <t xml:space="preserve">Свитеры</t>
        </is>
      </c>
      <c r="C1035" t="inlineStr">
        <is>
          <t xml:space="preserve">Свитер базовый с воротником на молнии, черный</t>
        </is>
      </c>
      <c r="D1035" t="inlineStr">
        <is>
          <t xml:space="preserve">SW62M08черный</t>
        </is>
      </c>
      <c r="E1035" t="inlineStr">
        <is>
          <t xml:space="preserve">черный</t>
        </is>
      </c>
      <c r="F1035" t="inlineStr">
        <is>
          <t xml:space="preserve">50</t>
        </is>
      </c>
      <c r="G1035">
        <v>35</v>
      </c>
      <c r="H1035" s="2">
        <v>37.0</v>
      </c>
      <c r="I1035" t="inlineStr">
        <is>
          <t xml:space="preserve">50% хлопок, 50%акрил</t>
        </is>
      </c>
      <c r="J1035"/>
      <c r="K1035" t="inlineStr">
        <is>
          <t xml:space="preserve">Бангладеш</t>
        </is>
      </c>
      <c r="L1035" t="inlineStr">
        <is>
          <t xml:space="preserve">6110309100</t>
        </is>
      </c>
      <c r="M1035" t="inlineStr">
        <is>
          <t xml:space="preserve">Декларация № ЕАЭС № BY/112 11.01. ТР017 122.01 08246, до 19.04.2028</t>
        </is>
      </c>
      <c r="N1035" t="inlineStr">
        <is>
          <t xml:space="preserve">40 × 30 × 4</t>
        </is>
      </c>
      <c r="O1035" t="inlineStr">
        <is>
          <t xml:space="preserve">0,48</t>
        </is>
      </c>
      <c r="P1035" t="inlineStr">
        <is>
          <t xml:space="preserve">4816148173164</t>
        </is>
      </c>
      <c r="Q1035" s="3" t="str">
        <f>HYPERLINK("https://modify.by/img/685816466/1.webp","фото")</f>
        <v>фото</v>
      </c>
      <c r="R1035" s="3" t="str">
        <f>HYPERLINK("https://modify.by/catalog/svitery/685816466/?utm_source=price&amp;utm_medium=xlsx","открыть")</f>
        <v>открыть</v>
      </c>
    </row>
    <row r="1036">
      <c r="A1036" t="inlineStr">
        <is>
          <t xml:space="preserve">Мужской</t>
        </is>
      </c>
      <c r="B1036" t="inlineStr">
        <is>
          <t xml:space="preserve">Свитеры</t>
        </is>
      </c>
      <c r="C1036" t="inlineStr">
        <is>
          <t xml:space="preserve">Свитер базовый с воротником на молнии, черный</t>
        </is>
      </c>
      <c r="D1036" t="inlineStr">
        <is>
          <t xml:space="preserve">SW62M08черный</t>
        </is>
      </c>
      <c r="E1036" t="inlineStr">
        <is>
          <t xml:space="preserve">черный</t>
        </is>
      </c>
      <c r="F1036" t="inlineStr">
        <is>
          <t xml:space="preserve">52</t>
        </is>
      </c>
      <c r="G1036">
        <v>72</v>
      </c>
      <c r="H1036" s="2">
        <v>37.0</v>
      </c>
      <c r="I1036" t="inlineStr">
        <is>
          <t xml:space="preserve">50% хлопок, 50%акрил</t>
        </is>
      </c>
      <c r="J1036"/>
      <c r="K1036" t="inlineStr">
        <is>
          <t xml:space="preserve">Бангладеш</t>
        </is>
      </c>
      <c r="L1036" t="inlineStr">
        <is>
          <t xml:space="preserve">6110309100</t>
        </is>
      </c>
      <c r="M1036" t="inlineStr">
        <is>
          <t xml:space="preserve">Декларация № ЕАЭС № BY/112 11.01. ТР017 122.01 08246, до 19.04.2028</t>
        </is>
      </c>
      <c r="N1036" t="inlineStr">
        <is>
          <t xml:space="preserve">40 × 30 × 4</t>
        </is>
      </c>
      <c r="O1036" t="inlineStr">
        <is>
          <t xml:space="preserve">0,48</t>
        </is>
      </c>
      <c r="P1036" t="inlineStr">
        <is>
          <t xml:space="preserve">4816148173171</t>
        </is>
      </c>
      <c r="Q1036" s="3" t="str">
        <f>HYPERLINK("https://modify.by/img/685816466/1.webp","фото")</f>
        <v>фото</v>
      </c>
      <c r="R1036" s="3" t="str">
        <f>HYPERLINK("https://modify.by/catalog/svitery/685816466/?utm_source=price&amp;utm_medium=xlsx","открыть")</f>
        <v>открыть</v>
      </c>
    </row>
    <row r="1037">
      <c r="A1037" t="inlineStr">
        <is>
          <t xml:space="preserve">Мужской</t>
        </is>
      </c>
      <c r="B1037" t="inlineStr">
        <is>
          <t xml:space="preserve">Свитеры</t>
        </is>
      </c>
      <c r="C1037" t="inlineStr">
        <is>
          <t xml:space="preserve">Свитер базовый с воротником на молнии, черный</t>
        </is>
      </c>
      <c r="D1037" t="inlineStr">
        <is>
          <t xml:space="preserve">SW62M08черный</t>
        </is>
      </c>
      <c r="E1037" t="inlineStr">
        <is>
          <t xml:space="preserve">черный</t>
        </is>
      </c>
      <c r="F1037" t="inlineStr">
        <is>
          <t xml:space="preserve">54</t>
        </is>
      </c>
      <c r="G1037">
        <v>35</v>
      </c>
      <c r="H1037" s="2">
        <v>37.0</v>
      </c>
      <c r="I1037" t="inlineStr">
        <is>
          <t xml:space="preserve">50% хлопок, 50%акрил</t>
        </is>
      </c>
      <c r="J1037"/>
      <c r="K1037" t="inlineStr">
        <is>
          <t xml:space="preserve">Бангладеш</t>
        </is>
      </c>
      <c r="L1037" t="inlineStr">
        <is>
          <t xml:space="preserve">6110309100</t>
        </is>
      </c>
      <c r="M1037" t="inlineStr">
        <is>
          <t xml:space="preserve">Декларация № ЕАЭС № BY/112 11.01. ТР017 122.01 08246, до 19.04.2028</t>
        </is>
      </c>
      <c r="N1037" t="inlineStr">
        <is>
          <t xml:space="preserve">40 × 30 × 4</t>
        </is>
      </c>
      <c r="O1037" t="inlineStr">
        <is>
          <t xml:space="preserve">0,48</t>
        </is>
      </c>
      <c r="P1037" t="inlineStr">
        <is>
          <t xml:space="preserve">4816148173188</t>
        </is>
      </c>
      <c r="Q1037" s="3" t="str">
        <f>HYPERLINK("https://modify.by/img/685816466/1.webp","фото")</f>
        <v>фото</v>
      </c>
      <c r="R1037" s="3" t="str">
        <f>HYPERLINK("https://modify.by/catalog/svitery/685816466/?utm_source=price&amp;utm_medium=xlsx","открыть")</f>
        <v>открыть</v>
      </c>
    </row>
    <row r="1038">
      <c r="A1038" t="inlineStr">
        <is>
          <t xml:space="preserve">Мужской</t>
        </is>
      </c>
      <c r="B1038" t="inlineStr">
        <is>
          <t xml:space="preserve">Свитеры</t>
        </is>
      </c>
      <c r="C1038" t="inlineStr">
        <is>
          <t xml:space="preserve">Свитер базовый с воротником на молнии, черный</t>
        </is>
      </c>
      <c r="D1038" t="inlineStr">
        <is>
          <t xml:space="preserve">SW62M08черный</t>
        </is>
      </c>
      <c r="E1038" t="inlineStr">
        <is>
          <t xml:space="preserve">черный</t>
        </is>
      </c>
      <c r="F1038" t="inlineStr">
        <is>
          <t xml:space="preserve">56</t>
        </is>
      </c>
      <c r="G1038">
        <v>7</v>
      </c>
      <c r="H1038" s="2">
        <v>37.0</v>
      </c>
      <c r="I1038" t="inlineStr">
        <is>
          <t xml:space="preserve">50% хлопок, 50%акрил</t>
        </is>
      </c>
      <c r="J1038"/>
      <c r="K1038" t="inlineStr">
        <is>
          <t xml:space="preserve">Бангладеш</t>
        </is>
      </c>
      <c r="L1038" t="inlineStr">
        <is>
          <t xml:space="preserve">6110309100</t>
        </is>
      </c>
      <c r="M1038" t="inlineStr">
        <is>
          <t xml:space="preserve">Декларация № ЕАЭС № BY/112 11.01. ТР017 122.01 08246, до 19.04.2028</t>
        </is>
      </c>
      <c r="N1038" t="inlineStr">
        <is>
          <t xml:space="preserve">40 × 30 × 4</t>
        </is>
      </c>
      <c r="O1038" t="inlineStr">
        <is>
          <t xml:space="preserve">0,48</t>
        </is>
      </c>
      <c r="P1038" t="inlineStr">
        <is>
          <t xml:space="preserve">4816148173195</t>
        </is>
      </c>
      <c r="Q1038" s="3" t="str">
        <f>HYPERLINK("https://modify.by/img/685816466/1.webp","фото")</f>
        <v>фото</v>
      </c>
      <c r="R1038" s="3" t="str">
        <f>HYPERLINK("https://modify.by/catalog/svitery/685816466/?utm_source=price&amp;utm_medium=xlsx","открыть")</f>
        <v>открыть</v>
      </c>
    </row>
    <row r="1039">
      <c r="A1039" t="inlineStr">
        <is>
          <t xml:space="preserve">Мужской</t>
        </is>
      </c>
      <c r="B1039" t="inlineStr">
        <is>
          <t xml:space="preserve">Свитеры</t>
        </is>
      </c>
      <c r="C1039" t="inlineStr">
        <is>
          <t xml:space="preserve">Свитер базовый теплый оверсайз вязаный хлопковый</t>
        </is>
      </c>
      <c r="D1039" t="inlineStr">
        <is>
          <t xml:space="preserve">SW42M03светло-коричневый</t>
        </is>
      </c>
      <c r="E1039" t="inlineStr">
        <is>
          <t xml:space="preserve">светло-коричневый</t>
        </is>
      </c>
      <c r="F1039" t="inlineStr">
        <is>
          <t xml:space="preserve">44/188</t>
        </is>
      </c>
      <c r="G1039">
        <v>1</v>
      </c>
      <c r="H1039" s="2">
        <v>32.0</v>
      </c>
      <c r="I1039" t="inlineStr">
        <is>
          <t xml:space="preserve">50%хлопок, 50% акрил</t>
        </is>
      </c>
      <c r="J1039"/>
      <c r="K1039" t="inlineStr">
        <is>
          <t xml:space="preserve">Бангладеш</t>
        </is>
      </c>
      <c r="L1039" t="inlineStr">
        <is>
          <t xml:space="preserve">6110209100</t>
        </is>
      </c>
      <c r="M1039" t="inlineStr">
        <is>
          <t xml:space="preserve">Декларация № ЕАЭС № BY/112 11.01. ТР017 122.01 08246, до 19.04.2028</t>
        </is>
      </c>
      <c r="N1039" t="inlineStr">
        <is>
          <t xml:space="preserve">35 × 25 × 3</t>
        </is>
      </c>
      <c r="O1039" t="inlineStr">
        <is>
          <t xml:space="preserve">0,44</t>
        </is>
      </c>
      <c r="P1039" t="inlineStr">
        <is>
          <t xml:space="preserve">4816148138095</t>
        </is>
      </c>
      <c r="Q1039" s="3" t="str">
        <f>HYPERLINK("https://modify.by/img/258242627/1.webp","фото")</f>
        <v>фото</v>
      </c>
      <c r="R1039" s="3" t="str">
        <f>HYPERLINK("https://modify.by/catalog/svitery/258242627/?utm_source=price&amp;utm_medium=xlsx","открыть")</f>
        <v>открыть</v>
      </c>
    </row>
    <row r="1040">
      <c r="A1040" t="inlineStr">
        <is>
          <t xml:space="preserve">Мужской</t>
        </is>
      </c>
      <c r="B1040" t="inlineStr">
        <is>
          <t xml:space="preserve">Свитеры</t>
        </is>
      </c>
      <c r="C1040" t="inlineStr">
        <is>
          <t xml:space="preserve">Свитер базовый теплый оверсайз вязаный хлопковый</t>
        </is>
      </c>
      <c r="D1040" t="inlineStr">
        <is>
          <t xml:space="preserve">SW42M03светло-коричневый</t>
        </is>
      </c>
      <c r="E1040" t="inlineStr">
        <is>
          <t xml:space="preserve">светло-коричневый</t>
        </is>
      </c>
      <c r="F1040" t="inlineStr">
        <is>
          <t xml:space="preserve">50/188</t>
        </is>
      </c>
      <c r="G1040">
        <v>4</v>
      </c>
      <c r="H1040" s="2">
        <v>32.0</v>
      </c>
      <c r="I1040" t="inlineStr">
        <is>
          <t xml:space="preserve">50%хлопок, 50% акрил</t>
        </is>
      </c>
      <c r="J1040"/>
      <c r="K1040" t="inlineStr">
        <is>
          <t xml:space="preserve">Бангладеш</t>
        </is>
      </c>
      <c r="L1040" t="inlineStr">
        <is>
          <t xml:space="preserve">6110209100</t>
        </is>
      </c>
      <c r="M1040" t="inlineStr">
        <is>
          <t xml:space="preserve">Декларация № ЕАЭС № BY/112 11.01. ТР017 122.01 08246, до 19.04.2028</t>
        </is>
      </c>
      <c r="N1040" t="inlineStr">
        <is>
          <t xml:space="preserve">35 × 25 × 3</t>
        </is>
      </c>
      <c r="O1040" t="inlineStr">
        <is>
          <t xml:space="preserve">0,44</t>
        </is>
      </c>
      <c r="P1040" t="inlineStr">
        <is>
          <t xml:space="preserve">4816148138071</t>
        </is>
      </c>
      <c r="Q1040" s="3" t="str">
        <f>HYPERLINK("https://modify.by/img/258242627/1.webp","фото")</f>
        <v>фото</v>
      </c>
      <c r="R1040" s="3" t="str">
        <f>HYPERLINK("https://modify.by/catalog/svitery/258242627/?utm_source=price&amp;utm_medium=xlsx","открыть")</f>
        <v>открыть</v>
      </c>
    </row>
    <row r="1041">
      <c r="A1041" t="inlineStr">
        <is>
          <t xml:space="preserve">Мужской</t>
        </is>
      </c>
      <c r="B1041" t="inlineStr">
        <is>
          <t xml:space="preserve">Свитеры</t>
        </is>
      </c>
      <c r="C1041" t="inlineStr">
        <is>
          <t xml:space="preserve">Свитер базовый теплый хлопковый</t>
        </is>
      </c>
      <c r="D1041" t="inlineStr">
        <is>
          <t xml:space="preserve">SW52M04серый/176</t>
        </is>
      </c>
      <c r="E1041" t="inlineStr">
        <is>
          <t xml:space="preserve">серый</t>
        </is>
      </c>
      <c r="F1041" t="inlineStr">
        <is>
          <t xml:space="preserve">50</t>
        </is>
      </c>
      <c r="G1041">
        <v>30</v>
      </c>
      <c r="H1041" s="2">
        <v>36.0</v>
      </c>
      <c r="I1041" t="inlineStr">
        <is>
          <t xml:space="preserve">хлопок 100%</t>
        </is>
      </c>
      <c r="J1041"/>
      <c r="K1041" t="inlineStr">
        <is>
          <t xml:space="preserve">Бангладеш</t>
        </is>
      </c>
      <c r="L1041" t="inlineStr">
        <is>
          <t xml:space="preserve">6110209100</t>
        </is>
      </c>
      <c r="M1041" t="inlineStr">
        <is>
          <t xml:space="preserve">Декларация № ЕАЭС № BY/112 11.01. ТР017 122.01 08246, до 19.04.2028</t>
        </is>
      </c>
      <c r="N1041" t="inlineStr">
        <is>
          <t xml:space="preserve">40 × 30 × 2</t>
        </is>
      </c>
      <c r="O1041" t="inlineStr">
        <is>
          <t xml:space="preserve">0,37</t>
        </is>
      </c>
      <c r="P1041" t="inlineStr">
        <is>
          <t xml:space="preserve">4816148169495</t>
        </is>
      </c>
      <c r="Q1041" s="3" t="str">
        <f>HYPERLINK("https://modify.by/img/157027467/1.webp","фото")</f>
        <v>фото</v>
      </c>
      <c r="R1041" s="3" t="str">
        <f>HYPERLINK("https://modify.by/catalog/svitery/157027467/?utm_source=price&amp;utm_medium=xlsx","открыть")</f>
        <v>открыть</v>
      </c>
    </row>
    <row r="1042">
      <c r="A1042" t="inlineStr">
        <is>
          <t xml:space="preserve">Мужской</t>
        </is>
      </c>
      <c r="B1042" t="inlineStr">
        <is>
          <t xml:space="preserve">Свитеры</t>
        </is>
      </c>
      <c r="C1042" t="inlineStr">
        <is>
          <t xml:space="preserve">Свитер вязаный с круглым вырезом</t>
        </is>
      </c>
      <c r="D1042" t="inlineStr">
        <is>
          <t xml:space="preserve">SW32M47темно-синий</t>
        </is>
      </c>
      <c r="E1042" t="inlineStr">
        <is>
          <t xml:space="preserve">темно-синий</t>
        </is>
      </c>
      <c r="F1042" t="inlineStr">
        <is>
          <t xml:space="preserve">54/182</t>
        </is>
      </c>
      <c r="G1042">
        <v>1</v>
      </c>
      <c r="H1042" s="2">
        <v>33.0</v>
      </c>
      <c r="I1042" t="inlineStr">
        <is>
          <t xml:space="preserve">хлопок 60% акрил 40%</t>
        </is>
      </c>
      <c r="J1042"/>
      <c r="K1042" t="inlineStr">
        <is>
          <t xml:space="preserve">Бангладеш</t>
        </is>
      </c>
      <c r="L1042" t="inlineStr">
        <is>
          <t xml:space="preserve">6110209100</t>
        </is>
      </c>
      <c r="M1042" t="inlineStr">
        <is>
          <t xml:space="preserve">по запросу</t>
        </is>
      </c>
      <c r="N1042"/>
      <c r="O1042"/>
      <c r="P1042" t="inlineStr">
        <is>
          <t xml:space="preserve">2038096179445</t>
        </is>
      </c>
      <c r="Q1042" s="3" t="str">
        <f>HYPERLINK("https://modify.by/img/181965840/1.webp","фото")</f>
        <v>фото</v>
      </c>
      <c r="R1042" s="3" t="str">
        <f>HYPERLINK("https://modify.by/catalog/svitery/181965840/?utm_source=price&amp;utm_medium=xlsx","открыть")</f>
        <v>открыть</v>
      </c>
    </row>
    <row r="1043">
      <c r="A1043" t="inlineStr">
        <is>
          <t xml:space="preserve">Мужской</t>
        </is>
      </c>
      <c r="B1043" t="inlineStr">
        <is>
          <t xml:space="preserve">Свитеры</t>
        </is>
      </c>
      <c r="C1043" t="inlineStr">
        <is>
          <t xml:space="preserve">Свитер джемпер базовый офисный</t>
        </is>
      </c>
      <c r="D1043" t="inlineStr">
        <is>
          <t xml:space="preserve">SW52M02Темно-бирюзовый</t>
        </is>
      </c>
      <c r="E1043" t="inlineStr">
        <is>
          <t xml:space="preserve">темно-бирюзовый</t>
        </is>
      </c>
      <c r="F1043" t="inlineStr">
        <is>
          <t xml:space="preserve">50</t>
        </is>
      </c>
      <c r="G1043">
        <v>8</v>
      </c>
      <c r="H1043" s="2">
        <v>33.0</v>
      </c>
      <c r="I1043" t="inlineStr">
        <is>
          <t xml:space="preserve">хлопок 80%, нейлон 20%</t>
        </is>
      </c>
      <c r="J1043"/>
      <c r="K1043" t="inlineStr">
        <is>
          <t xml:space="preserve">Бангладеш</t>
        </is>
      </c>
      <c r="L1043" t="inlineStr">
        <is>
          <t xml:space="preserve">6110209100</t>
        </is>
      </c>
      <c r="M1043" t="inlineStr">
        <is>
          <t xml:space="preserve">Декларация № ЕАЭС № BY/112 11.01. ТР017 122.01 08246, до 19.04.2028</t>
        </is>
      </c>
      <c r="N1043" t="inlineStr">
        <is>
          <t xml:space="preserve">38 × 30 × 2</t>
        </is>
      </c>
      <c r="O1043" t="inlineStr">
        <is>
          <t xml:space="preserve">0,4</t>
        </is>
      </c>
      <c r="P1043" t="inlineStr">
        <is>
          <t xml:space="preserve">4816148170767</t>
        </is>
      </c>
      <c r="Q1043" s="3" t="str">
        <f>HYPERLINK("https://modify.by/img/553970327/1.webp","фото")</f>
        <v>фото</v>
      </c>
      <c r="R1043" s="3" t="str">
        <f>HYPERLINK("https://modify.by/catalog/svitery/553970327/?utm_source=price&amp;utm_medium=xlsx","открыть")</f>
        <v>открыть</v>
      </c>
    </row>
    <row r="1044">
      <c r="A1044" t="inlineStr">
        <is>
          <t xml:space="preserve">Мужской</t>
        </is>
      </c>
      <c r="B1044" t="inlineStr">
        <is>
          <t xml:space="preserve">Свитеры</t>
        </is>
      </c>
      <c r="C1044" t="inlineStr">
        <is>
          <t xml:space="preserve">Свитер крупной вязки хлопок, темно-синий</t>
        </is>
      </c>
      <c r="D1044" t="inlineStr">
        <is>
          <t xml:space="preserve">SW12M13*Темно-синий</t>
        </is>
      </c>
      <c r="E1044" t="inlineStr">
        <is>
          <t xml:space="preserve">темно-синий</t>
        </is>
      </c>
      <c r="F1044" t="inlineStr">
        <is>
          <t xml:space="preserve">46-48</t>
        </is>
      </c>
      <c r="G1044">
        <v>2</v>
      </c>
      <c r="H1044" s="2">
        <v>24.0</v>
      </c>
      <c r="I1044" t="inlineStr">
        <is>
          <t xml:space="preserve">хлопок 100%</t>
        </is>
      </c>
      <c r="J1044"/>
      <c r="K1044" t="inlineStr">
        <is>
          <t xml:space="preserve">Бангладеш</t>
        </is>
      </c>
      <c r="L1044" t="inlineStr">
        <is>
          <t xml:space="preserve">6110209900</t>
        </is>
      </c>
      <c r="M1044" t="inlineStr">
        <is>
          <t xml:space="preserve">Декларация № ЕАЭС № BY/112 11.01. ТР017 122.01 08246, до 19.04.2028</t>
        </is>
      </c>
      <c r="N1044" t="inlineStr">
        <is>
          <t xml:space="preserve">3 × 30 × 35</t>
        </is>
      </c>
      <c r="O1044" t="inlineStr">
        <is>
          <t xml:space="preserve">0,4</t>
        </is>
      </c>
      <c r="P1044" t="inlineStr">
        <is>
          <t xml:space="preserve">2004570292726</t>
        </is>
      </c>
      <c r="Q1044" s="3" t="str">
        <f>HYPERLINK("https://modify.by/img/58481245/1.webp","фото")</f>
        <v>фото</v>
      </c>
      <c r="R1044" s="3" t="str">
        <f>HYPERLINK("https://modify.by/catalog/svitery/58481245/?utm_source=price&amp;utm_medium=xlsx","открыть")</f>
        <v>открыть</v>
      </c>
    </row>
    <row r="1045">
      <c r="A1045" t="inlineStr">
        <is>
          <t xml:space="preserve">Мужской</t>
        </is>
      </c>
      <c r="B1045" t="inlineStr">
        <is>
          <t xml:space="preserve">Свитеры</t>
        </is>
      </c>
      <c r="C1045" t="inlineStr">
        <is>
          <t xml:space="preserve">Свитер крупной вязки хлопок, темно-синий</t>
        </is>
      </c>
      <c r="D1045" t="inlineStr">
        <is>
          <t xml:space="preserve">SW12M13*Темно-синий</t>
        </is>
      </c>
      <c r="E1045" t="inlineStr">
        <is>
          <t xml:space="preserve">темно-синий</t>
        </is>
      </c>
      <c r="F1045" t="inlineStr">
        <is>
          <t xml:space="preserve">46-48</t>
        </is>
      </c>
      <c r="G1045">
        <v>2</v>
      </c>
      <c r="H1045" s="2">
        <v>24.0</v>
      </c>
      <c r="I1045" t="inlineStr">
        <is>
          <t xml:space="preserve">хлопок 100%</t>
        </is>
      </c>
      <c r="J1045"/>
      <c r="K1045" t="inlineStr">
        <is>
          <t xml:space="preserve">Бангладеш</t>
        </is>
      </c>
      <c r="L1045" t="inlineStr">
        <is>
          <t xml:space="preserve">6110209900</t>
        </is>
      </c>
      <c r="M1045" t="inlineStr">
        <is>
          <t xml:space="preserve">Декларация № ЕАЭС № BY/112 11.01. ТР017 122.01 08246, до 19.04.2028</t>
        </is>
      </c>
      <c r="N1045" t="inlineStr">
        <is>
          <t xml:space="preserve">3 × 30 × 35</t>
        </is>
      </c>
      <c r="O1045" t="inlineStr">
        <is>
          <t xml:space="preserve">0,4</t>
        </is>
      </c>
      <c r="P1045" t="inlineStr">
        <is>
          <t xml:space="preserve">4816148179005</t>
        </is>
      </c>
      <c r="Q1045" s="3" t="str">
        <f>HYPERLINK("https://modify.by/img/58481245/1.webp","фото")</f>
        <v>фото</v>
      </c>
      <c r="R1045" s="3" t="str">
        <f>HYPERLINK("https://modify.by/catalog/svitery/58481245/?utm_source=price&amp;utm_medium=xlsx","открыть")</f>
        <v>открыть</v>
      </c>
    </row>
    <row r="1046">
      <c r="A1046" t="inlineStr">
        <is>
          <t xml:space="preserve">Мужской</t>
        </is>
      </c>
      <c r="B1046" t="inlineStr">
        <is>
          <t xml:space="preserve">Свитеры</t>
        </is>
      </c>
      <c r="C1046" t="inlineStr">
        <is>
          <t xml:space="preserve">Свитер крупной вязки хлопок, черный</t>
        </is>
      </c>
      <c r="D1046" t="inlineStr">
        <is>
          <t xml:space="preserve">SW12M13*Черный,белый</t>
        </is>
      </c>
      <c r="E1046" t="inlineStr">
        <is>
          <t xml:space="preserve">черный</t>
        </is>
      </c>
      <c r="F1046" t="inlineStr">
        <is>
          <t xml:space="preserve">56-58</t>
        </is>
      </c>
      <c r="G1046">
        <v>1</v>
      </c>
      <c r="H1046" s="2">
        <v>24.0</v>
      </c>
      <c r="I1046" t="inlineStr">
        <is>
          <t xml:space="preserve">хлопок 100%</t>
        </is>
      </c>
      <c r="J1046"/>
      <c r="K1046" t="inlineStr">
        <is>
          <t xml:space="preserve">Бангладеш</t>
        </is>
      </c>
      <c r="L1046" t="inlineStr">
        <is>
          <t xml:space="preserve">6110209900</t>
        </is>
      </c>
      <c r="M1046" t="inlineStr">
        <is>
          <t xml:space="preserve">Декларация № ЕАЭС № BY/112 11.01. ТР017 122.01 08246, до 19.04.2028</t>
        </is>
      </c>
      <c r="N1046" t="inlineStr">
        <is>
          <t xml:space="preserve">3 × 30 × 35</t>
        </is>
      </c>
      <c r="O1046" t="inlineStr">
        <is>
          <t xml:space="preserve">0,4</t>
        </is>
      </c>
      <c r="P1046" t="inlineStr">
        <is>
          <t xml:space="preserve">2004570292764</t>
        </is>
      </c>
      <c r="Q1046" s="3" t="str">
        <f>HYPERLINK("https://modify.by/img/58481246/1.webp","фото")</f>
        <v>фото</v>
      </c>
      <c r="R1046" s="3" t="str">
        <f>HYPERLINK("https://modify.by/catalog/svitery/58481246/?utm_source=price&amp;utm_medium=xlsx","открыть")</f>
        <v>открыть</v>
      </c>
    </row>
    <row r="1047">
      <c r="A1047" t="inlineStr">
        <is>
          <t xml:space="preserve">Мужской</t>
        </is>
      </c>
      <c r="B1047" t="inlineStr">
        <is>
          <t xml:space="preserve">Свитеры</t>
        </is>
      </c>
      <c r="C1047" t="inlineStr">
        <is>
          <t xml:space="preserve">Свитер крупной вязки хлопок, черный</t>
        </is>
      </c>
      <c r="D1047" t="inlineStr">
        <is>
          <t xml:space="preserve">SW12M13*Черный,белый</t>
        </is>
      </c>
      <c r="E1047" t="inlineStr">
        <is>
          <t xml:space="preserve">черный</t>
        </is>
      </c>
      <c r="F1047" t="inlineStr">
        <is>
          <t xml:space="preserve">56-58</t>
        </is>
      </c>
      <c r="G1047">
        <v>1</v>
      </c>
      <c r="H1047" s="2">
        <v>24.0</v>
      </c>
      <c r="I1047" t="inlineStr">
        <is>
          <t xml:space="preserve">хлопок 100%</t>
        </is>
      </c>
      <c r="J1047"/>
      <c r="K1047" t="inlineStr">
        <is>
          <t xml:space="preserve">Бангладеш</t>
        </is>
      </c>
      <c r="L1047" t="inlineStr">
        <is>
          <t xml:space="preserve">6110209900</t>
        </is>
      </c>
      <c r="M1047" t="inlineStr">
        <is>
          <t xml:space="preserve">Декларация № ЕАЭС № BY/112 11.01. ТР017 122.01 08246, до 19.04.2028</t>
        </is>
      </c>
      <c r="N1047" t="inlineStr">
        <is>
          <t xml:space="preserve">3 × 30 × 35</t>
        </is>
      </c>
      <c r="O1047" t="inlineStr">
        <is>
          <t xml:space="preserve">0,4</t>
        </is>
      </c>
      <c r="P1047" t="inlineStr">
        <is>
          <t xml:space="preserve">4816148179036</t>
        </is>
      </c>
      <c r="Q1047" s="3" t="str">
        <f>HYPERLINK("https://modify.by/img/58481246/1.webp","фото")</f>
        <v>фото</v>
      </c>
      <c r="R1047" s="3" t="str">
        <f>HYPERLINK("https://modify.by/catalog/svitery/58481246/?utm_source=price&amp;utm_medium=xlsx","открыть")</f>
        <v>открыть</v>
      </c>
    </row>
    <row r="1048">
      <c r="A1048" t="inlineStr">
        <is>
          <t xml:space="preserve">Мужской</t>
        </is>
      </c>
      <c r="B1048" t="inlineStr">
        <is>
          <t xml:space="preserve">Свитеры</t>
        </is>
      </c>
      <c r="C1048" t="inlineStr">
        <is>
          <t xml:space="preserve">Свитер легкий с воротником на молнии</t>
        </is>
      </c>
      <c r="D1048" t="inlineStr">
        <is>
          <t xml:space="preserve">SW62M08темно-синий</t>
        </is>
      </c>
      <c r="E1048" t="inlineStr">
        <is>
          <t xml:space="preserve">темно-синий</t>
        </is>
      </c>
      <c r="F1048" t="inlineStr">
        <is>
          <t xml:space="preserve">50</t>
        </is>
      </c>
      <c r="G1048">
        <v>5</v>
      </c>
      <c r="H1048" s="2">
        <v>37.0</v>
      </c>
      <c r="I1048" t="inlineStr">
        <is>
          <t xml:space="preserve">50% хлопок, 50%акрил</t>
        </is>
      </c>
      <c r="J1048"/>
      <c r="K1048" t="inlineStr">
        <is>
          <t xml:space="preserve">Бангладеш</t>
        </is>
      </c>
      <c r="L1048" t="inlineStr">
        <is>
          <t xml:space="preserve">6110309100</t>
        </is>
      </c>
      <c r="M1048" t="inlineStr">
        <is>
          <t xml:space="preserve">Декларация № ЕАЭС № BY/112 11.01. ТР017 122.01 08246, до 19.04.2028</t>
        </is>
      </c>
      <c r="N1048" t="inlineStr">
        <is>
          <t xml:space="preserve">40 × 30 × 4</t>
        </is>
      </c>
      <c r="O1048" t="inlineStr">
        <is>
          <t xml:space="preserve">0,48</t>
        </is>
      </c>
      <c r="P1048" t="inlineStr">
        <is>
          <t xml:space="preserve">4816148173218</t>
        </is>
      </c>
      <c r="Q1048" s="3" t="str">
        <f>HYPERLINK("https://modify.by/img/685816467/1.webp","фото")</f>
        <v>фото</v>
      </c>
      <c r="R1048" s="3" t="str">
        <f>HYPERLINK("https://modify.by/catalog/svitery/685816467/?utm_source=price&amp;utm_medium=xlsx","открыть")</f>
        <v>открыть</v>
      </c>
    </row>
    <row r="1049">
      <c r="A1049" t="inlineStr">
        <is>
          <t xml:space="preserve">Мужской</t>
        </is>
      </c>
      <c r="B1049" t="inlineStr">
        <is>
          <t xml:space="preserve">Свитеры</t>
        </is>
      </c>
      <c r="C1049" t="inlineStr">
        <is>
          <t xml:space="preserve">Свитер легкий с воротником на молнии</t>
        </is>
      </c>
      <c r="D1049" t="inlineStr">
        <is>
          <t xml:space="preserve">SW62M08темно-синий</t>
        </is>
      </c>
      <c r="E1049" t="inlineStr">
        <is>
          <t xml:space="preserve">темно-синий</t>
        </is>
      </c>
      <c r="F1049" t="inlineStr">
        <is>
          <t xml:space="preserve">52</t>
        </is>
      </c>
      <c r="G1049">
        <v>38</v>
      </c>
      <c r="H1049" s="2">
        <v>37.0</v>
      </c>
      <c r="I1049" t="inlineStr">
        <is>
          <t xml:space="preserve">50% хлопок, 50%акрил</t>
        </is>
      </c>
      <c r="J1049"/>
      <c r="K1049" t="inlineStr">
        <is>
          <t xml:space="preserve">Бангладеш</t>
        </is>
      </c>
      <c r="L1049" t="inlineStr">
        <is>
          <t xml:space="preserve">6110309100</t>
        </is>
      </c>
      <c r="M1049" t="inlineStr">
        <is>
          <t xml:space="preserve">Декларация № ЕАЭС № BY/112 11.01. ТР017 122.01 08246, до 19.04.2028</t>
        </is>
      </c>
      <c r="N1049" t="inlineStr">
        <is>
          <t xml:space="preserve">40 × 30 × 4</t>
        </is>
      </c>
      <c r="O1049" t="inlineStr">
        <is>
          <t xml:space="preserve">0,48</t>
        </is>
      </c>
      <c r="P1049" t="inlineStr">
        <is>
          <t xml:space="preserve">4816148173225</t>
        </is>
      </c>
      <c r="Q1049" s="3" t="str">
        <f>HYPERLINK("https://modify.by/img/685816467/1.webp","фото")</f>
        <v>фото</v>
      </c>
      <c r="R1049" s="3" t="str">
        <f>HYPERLINK("https://modify.by/catalog/svitery/685816467/?utm_source=price&amp;utm_medium=xlsx","открыть")</f>
        <v>открыть</v>
      </c>
    </row>
    <row r="1050">
      <c r="A1050" t="inlineStr">
        <is>
          <t xml:space="preserve">Мужской</t>
        </is>
      </c>
      <c r="B1050" t="inlineStr">
        <is>
          <t xml:space="preserve">Свитеры</t>
        </is>
      </c>
      <c r="C1050" t="inlineStr">
        <is>
          <t xml:space="preserve">Свитер легкий с воротником на молнии</t>
        </is>
      </c>
      <c r="D1050" t="inlineStr">
        <is>
          <t xml:space="preserve">SW62M08темно-синий</t>
        </is>
      </c>
      <c r="E1050" t="inlineStr">
        <is>
          <t xml:space="preserve">темно-синий</t>
        </is>
      </c>
      <c r="F1050" t="inlineStr">
        <is>
          <t xml:space="preserve">54</t>
        </is>
      </c>
      <c r="G1050">
        <v>23</v>
      </c>
      <c r="H1050" s="2">
        <v>37.0</v>
      </c>
      <c r="I1050" t="inlineStr">
        <is>
          <t xml:space="preserve">50% хлопок, 50%акрил</t>
        </is>
      </c>
      <c r="J1050"/>
      <c r="K1050" t="inlineStr">
        <is>
          <t xml:space="preserve">Бангладеш</t>
        </is>
      </c>
      <c r="L1050" t="inlineStr">
        <is>
          <t xml:space="preserve">6110309100</t>
        </is>
      </c>
      <c r="M1050" t="inlineStr">
        <is>
          <t xml:space="preserve">Декларация № ЕАЭС № BY/112 11.01. ТР017 122.01 08246, до 19.04.2028</t>
        </is>
      </c>
      <c r="N1050" t="inlineStr">
        <is>
          <t xml:space="preserve">40 × 30 × 4</t>
        </is>
      </c>
      <c r="O1050" t="inlineStr">
        <is>
          <t xml:space="preserve">0,48</t>
        </is>
      </c>
      <c r="P1050" t="inlineStr">
        <is>
          <t xml:space="preserve">4816148173232</t>
        </is>
      </c>
      <c r="Q1050" s="3" t="str">
        <f>HYPERLINK("https://modify.by/img/685816467/1.webp","фото")</f>
        <v>фото</v>
      </c>
      <c r="R1050" s="3" t="str">
        <f>HYPERLINK("https://modify.by/catalog/svitery/685816467/?utm_source=price&amp;utm_medium=xlsx","открыть")</f>
        <v>открыть</v>
      </c>
    </row>
    <row r="1051">
      <c r="A1051" t="inlineStr">
        <is>
          <t xml:space="preserve">Мужской</t>
        </is>
      </c>
      <c r="B1051" t="inlineStr">
        <is>
          <t xml:space="preserve">Свитеры</t>
        </is>
      </c>
      <c r="C1051" t="inlineStr">
        <is>
          <t xml:space="preserve">Свитер легкий с воротником на молнии</t>
        </is>
      </c>
      <c r="D1051" t="inlineStr">
        <is>
          <t xml:space="preserve">SW62M08темно-синий</t>
        </is>
      </c>
      <c r="E1051" t="inlineStr">
        <is>
          <t xml:space="preserve">темно-синий</t>
        </is>
      </c>
      <c r="F1051" t="inlineStr">
        <is>
          <t xml:space="preserve">56</t>
        </is>
      </c>
      <c r="G1051">
        <v>21</v>
      </c>
      <c r="H1051" s="2">
        <v>37.0</v>
      </c>
      <c r="I1051" t="inlineStr">
        <is>
          <t xml:space="preserve">50% хлопок, 50%акрил</t>
        </is>
      </c>
      <c r="J1051"/>
      <c r="K1051" t="inlineStr">
        <is>
          <t xml:space="preserve">Бангладеш</t>
        </is>
      </c>
      <c r="L1051" t="inlineStr">
        <is>
          <t xml:space="preserve">6110309100</t>
        </is>
      </c>
      <c r="M1051" t="inlineStr">
        <is>
          <t xml:space="preserve">Декларация № ЕАЭС № BY/112 11.01. ТР017 122.01 08246, до 19.04.2028</t>
        </is>
      </c>
      <c r="N1051" t="inlineStr">
        <is>
          <t xml:space="preserve">40 × 30 × 4</t>
        </is>
      </c>
      <c r="O1051" t="inlineStr">
        <is>
          <t xml:space="preserve">0,48</t>
        </is>
      </c>
      <c r="P1051" t="inlineStr">
        <is>
          <t xml:space="preserve">4816148173249</t>
        </is>
      </c>
      <c r="Q1051" s="3" t="str">
        <f>HYPERLINK("https://modify.by/img/685816467/1.webp","фото")</f>
        <v>фото</v>
      </c>
      <c r="R1051" s="3" t="str">
        <f>HYPERLINK("https://modify.by/catalog/svitery/685816467/?utm_source=price&amp;utm_medium=xlsx","открыть")</f>
        <v>открыть</v>
      </c>
    </row>
    <row r="1052">
      <c r="A1052" t="inlineStr">
        <is>
          <t xml:space="preserve">Мужской</t>
        </is>
      </c>
      <c r="B1052" t="inlineStr">
        <is>
          <t xml:space="preserve">Свитеры</t>
        </is>
      </c>
      <c r="C1052" t="inlineStr">
        <is>
          <t xml:space="preserve">Свитер мужской/ хлопок</t>
        </is>
      </c>
      <c r="D1052" t="inlineStr">
        <is>
          <t xml:space="preserve">SW12M10*Синий</t>
        </is>
      </c>
      <c r="E1052" t="inlineStr">
        <is>
          <t xml:space="preserve">синий</t>
        </is>
      </c>
      <c r="F1052" t="inlineStr">
        <is>
          <t xml:space="preserve">52-54</t>
        </is>
      </c>
      <c r="G1052">
        <v>3</v>
      </c>
      <c r="H1052" s="2">
        <v>26.0</v>
      </c>
      <c r="I1052" t="inlineStr">
        <is>
          <t xml:space="preserve">хлопок 100%</t>
        </is>
      </c>
      <c r="J1052"/>
      <c r="K1052" t="inlineStr">
        <is>
          <t xml:space="preserve">Бангладеш</t>
        </is>
      </c>
      <c r="L1052" t="inlineStr">
        <is>
          <t xml:space="preserve">6110209900</t>
        </is>
      </c>
      <c r="M1052" t="inlineStr">
        <is>
          <t xml:space="preserve">Декларация № ЕАЭС № BY/112 11.01. ТР017 122.01 08246, до 19.04.2028</t>
        </is>
      </c>
      <c r="N1052" t="inlineStr">
        <is>
          <t xml:space="preserve">2 × 30 × 35</t>
        </is>
      </c>
      <c r="O1052" t="inlineStr">
        <is>
          <t xml:space="preserve">0,4</t>
        </is>
      </c>
      <c r="P1052" t="inlineStr">
        <is>
          <t xml:space="preserve">4816148178961</t>
        </is>
      </c>
      <c r="Q1052" s="3" t="str">
        <f>HYPERLINK("https://modify.by/img/58480044/1.webp","фото")</f>
        <v>фото</v>
      </c>
      <c r="R1052" s="3" t="str">
        <f>HYPERLINK("https://modify.by/catalog/svitery/58480044/?utm_source=price&amp;utm_medium=xlsx","открыть")</f>
        <v>открыть</v>
      </c>
    </row>
    <row r="1053">
      <c r="A1053" t="inlineStr">
        <is>
          <t xml:space="preserve">Мужской</t>
        </is>
      </c>
      <c r="B1053" t="inlineStr">
        <is>
          <t xml:space="preserve">Свитеры</t>
        </is>
      </c>
      <c r="C1053" t="inlineStr">
        <is>
          <t xml:space="preserve">Свитер оверсайз хлопковый базовый</t>
        </is>
      </c>
      <c r="D1053" t="inlineStr">
        <is>
          <t xml:space="preserve">SW62M10синий</t>
        </is>
      </c>
      <c r="E1053" t="inlineStr">
        <is>
          <t xml:space="preserve">светло-синий, синий, дымчатый синий</t>
        </is>
      </c>
      <c r="F1053" t="inlineStr">
        <is>
          <t xml:space="preserve">46</t>
        </is>
      </c>
      <c r="G1053">
        <v>1</v>
      </c>
      <c r="H1053" s="2">
        <v>36.0</v>
      </c>
      <c r="I1053" t="inlineStr">
        <is>
          <t xml:space="preserve">хлопок 100%</t>
        </is>
      </c>
      <c r="J1053"/>
      <c r="K1053" t="inlineStr">
        <is>
          <t xml:space="preserve">Бангладеш</t>
        </is>
      </c>
      <c r="L1053" t="inlineStr">
        <is>
          <t xml:space="preserve">6110209100</t>
        </is>
      </c>
      <c r="M1053" t="inlineStr">
        <is>
          <t xml:space="preserve">Декларация № ЕАЭС № BY/112 11.01. ТР017 122.01 08246, до 19.04.2028</t>
        </is>
      </c>
      <c r="N1053" t="inlineStr">
        <is>
          <t xml:space="preserve">36 × 30 × 3</t>
        </is>
      </c>
      <c r="O1053" t="inlineStr">
        <is>
          <t xml:space="preserve">0,52</t>
        </is>
      </c>
      <c r="P1053" t="inlineStr">
        <is>
          <t xml:space="preserve">4816148174208</t>
        </is>
      </c>
      <c r="Q1053" s="3" t="str">
        <f>HYPERLINK("https://modify.by/img/740168600/1.webp","фото")</f>
        <v>фото</v>
      </c>
      <c r="R1053" s="3" t="str">
        <f>HYPERLINK("https://modify.by/catalog/svitery/740168600/?utm_source=price&amp;utm_medium=xlsx","открыть")</f>
        <v>открыть</v>
      </c>
    </row>
    <row r="1054">
      <c r="A1054" t="inlineStr">
        <is>
          <t xml:space="preserve">Мужской</t>
        </is>
      </c>
      <c r="B1054" t="inlineStr">
        <is>
          <t xml:space="preserve">Свитеры</t>
        </is>
      </c>
      <c r="C1054" t="inlineStr">
        <is>
          <t xml:space="preserve">Свитер оверсайз хлопковый базовый</t>
        </is>
      </c>
      <c r="D1054" t="inlineStr">
        <is>
          <t xml:space="preserve">SW62M10синий</t>
        </is>
      </c>
      <c r="E1054" t="inlineStr">
        <is>
          <t xml:space="preserve">светло-синий, синий, дымчатый синий</t>
        </is>
      </c>
      <c r="F1054" t="inlineStr">
        <is>
          <t xml:space="preserve">48</t>
        </is>
      </c>
      <c r="G1054">
        <v>2</v>
      </c>
      <c r="H1054" s="2">
        <v>36.0</v>
      </c>
      <c r="I1054" t="inlineStr">
        <is>
          <t xml:space="preserve">хлопок 100%</t>
        </is>
      </c>
      <c r="J1054"/>
      <c r="K1054" t="inlineStr">
        <is>
          <t xml:space="preserve">Бангладеш</t>
        </is>
      </c>
      <c r="L1054" t="inlineStr">
        <is>
          <t xml:space="preserve">6110209100</t>
        </is>
      </c>
      <c r="M1054" t="inlineStr">
        <is>
          <t xml:space="preserve">Декларация № ЕАЭС № BY/112 11.01. ТР017 122.01 08246, до 19.04.2028</t>
        </is>
      </c>
      <c r="N1054" t="inlineStr">
        <is>
          <t xml:space="preserve">36 × 30 × 3</t>
        </is>
      </c>
      <c r="O1054" t="inlineStr">
        <is>
          <t xml:space="preserve">0,52</t>
        </is>
      </c>
      <c r="P1054" t="inlineStr">
        <is>
          <t xml:space="preserve">4816148174215</t>
        </is>
      </c>
      <c r="Q1054" s="3" t="str">
        <f>HYPERLINK("https://modify.by/img/740168600/1.webp","фото")</f>
        <v>фото</v>
      </c>
      <c r="R1054" s="3" t="str">
        <f>HYPERLINK("https://modify.by/catalog/svitery/740168600/?utm_source=price&amp;utm_medium=xlsx","открыть")</f>
        <v>открыть</v>
      </c>
    </row>
    <row r="1055">
      <c r="A1055" t="inlineStr">
        <is>
          <t xml:space="preserve">Мужской</t>
        </is>
      </c>
      <c r="B1055" t="inlineStr">
        <is>
          <t xml:space="preserve">Свитеры</t>
        </is>
      </c>
      <c r="C1055" t="inlineStr">
        <is>
          <t xml:space="preserve">Свитер оверсайз хлопковый базовый</t>
        </is>
      </c>
      <c r="D1055" t="inlineStr">
        <is>
          <t xml:space="preserve">SW62M10синий</t>
        </is>
      </c>
      <c r="E1055" t="inlineStr">
        <is>
          <t xml:space="preserve">светло-синий, синий, дымчатый синий</t>
        </is>
      </c>
      <c r="F1055" t="inlineStr">
        <is>
          <t xml:space="preserve">50</t>
        </is>
      </c>
      <c r="G1055">
        <v>5</v>
      </c>
      <c r="H1055" s="2">
        <v>36.0</v>
      </c>
      <c r="I1055" t="inlineStr">
        <is>
          <t xml:space="preserve">хлопок 100%</t>
        </is>
      </c>
      <c r="J1055"/>
      <c r="K1055" t="inlineStr">
        <is>
          <t xml:space="preserve">Бангладеш</t>
        </is>
      </c>
      <c r="L1055" t="inlineStr">
        <is>
          <t xml:space="preserve">6110209100</t>
        </is>
      </c>
      <c r="M1055" t="inlineStr">
        <is>
          <t xml:space="preserve">Декларация № ЕАЭС № BY/112 11.01. ТР017 122.01 08246, до 19.04.2028</t>
        </is>
      </c>
      <c r="N1055" t="inlineStr">
        <is>
          <t xml:space="preserve">36 × 30 × 3</t>
        </is>
      </c>
      <c r="O1055" t="inlineStr">
        <is>
          <t xml:space="preserve">0,52</t>
        </is>
      </c>
      <c r="P1055" t="inlineStr">
        <is>
          <t xml:space="preserve">4816148174222</t>
        </is>
      </c>
      <c r="Q1055" s="3" t="str">
        <f>HYPERLINK("https://modify.by/img/740168600/1.webp","фото")</f>
        <v>фото</v>
      </c>
      <c r="R1055" s="3" t="str">
        <f>HYPERLINK("https://modify.by/catalog/svitery/740168600/?utm_source=price&amp;utm_medium=xlsx","открыть")</f>
        <v>открыть</v>
      </c>
    </row>
    <row r="1056">
      <c r="A1056" t="inlineStr">
        <is>
          <t xml:space="preserve">Мужской</t>
        </is>
      </c>
      <c r="B1056" t="inlineStr">
        <is>
          <t xml:space="preserve">Свитеры</t>
        </is>
      </c>
      <c r="C1056" t="inlineStr">
        <is>
          <t xml:space="preserve">Свитер оверсайз хлопковый базовый</t>
        </is>
      </c>
      <c r="D1056" t="inlineStr">
        <is>
          <t xml:space="preserve">SW62M10синий</t>
        </is>
      </c>
      <c r="E1056" t="inlineStr">
        <is>
          <t xml:space="preserve">светло-синий, синий, дымчатый синий</t>
        </is>
      </c>
      <c r="F1056" t="inlineStr">
        <is>
          <t xml:space="preserve">52</t>
        </is>
      </c>
      <c r="G1056">
        <v>29</v>
      </c>
      <c r="H1056" s="2">
        <v>36.0</v>
      </c>
      <c r="I1056" t="inlineStr">
        <is>
          <t xml:space="preserve">хлопок 100%</t>
        </is>
      </c>
      <c r="J1056"/>
      <c r="K1056" t="inlineStr">
        <is>
          <t xml:space="preserve">Бангладеш</t>
        </is>
      </c>
      <c r="L1056" t="inlineStr">
        <is>
          <t xml:space="preserve">6110209100</t>
        </is>
      </c>
      <c r="M1056" t="inlineStr">
        <is>
          <t xml:space="preserve">Декларация № ЕАЭС № BY/112 11.01. ТР017 122.01 08246, до 19.04.2028</t>
        </is>
      </c>
      <c r="N1056" t="inlineStr">
        <is>
          <t xml:space="preserve">36 × 30 × 3</t>
        </is>
      </c>
      <c r="O1056" t="inlineStr">
        <is>
          <t xml:space="preserve">0,52</t>
        </is>
      </c>
      <c r="P1056" t="inlineStr">
        <is>
          <t xml:space="preserve">4816148174239</t>
        </is>
      </c>
      <c r="Q1056" s="3" t="str">
        <f>HYPERLINK("https://modify.by/img/740168600/1.webp","фото")</f>
        <v>фото</v>
      </c>
      <c r="R1056" s="3" t="str">
        <f>HYPERLINK("https://modify.by/catalog/svitery/740168600/?utm_source=price&amp;utm_medium=xlsx","открыть")</f>
        <v>открыть</v>
      </c>
    </row>
    <row r="1057">
      <c r="A1057" t="inlineStr">
        <is>
          <t xml:space="preserve">Мужской</t>
        </is>
      </c>
      <c r="B1057" t="inlineStr">
        <is>
          <t xml:space="preserve">Свитеры</t>
        </is>
      </c>
      <c r="C1057" t="inlineStr">
        <is>
          <t xml:space="preserve">Свитер оверсайз хлопковый базовый</t>
        </is>
      </c>
      <c r="D1057" t="inlineStr">
        <is>
          <t xml:space="preserve">SW62M10синий</t>
        </is>
      </c>
      <c r="E1057" t="inlineStr">
        <is>
          <t xml:space="preserve">светло-синий, синий, дымчатый синий</t>
        </is>
      </c>
      <c r="F1057" t="inlineStr">
        <is>
          <t xml:space="preserve">54</t>
        </is>
      </c>
      <c r="G1057">
        <v>36</v>
      </c>
      <c r="H1057" s="2">
        <v>36.0</v>
      </c>
      <c r="I1057" t="inlineStr">
        <is>
          <t xml:space="preserve">хлопок 100%</t>
        </is>
      </c>
      <c r="J1057"/>
      <c r="K1057" t="inlineStr">
        <is>
          <t xml:space="preserve">Бангладеш</t>
        </is>
      </c>
      <c r="L1057" t="inlineStr">
        <is>
          <t xml:space="preserve">6110209100</t>
        </is>
      </c>
      <c r="M1057" t="inlineStr">
        <is>
          <t xml:space="preserve">Декларация № ЕАЭС № BY/112 11.01. ТР017 122.01 08246, до 19.04.2028</t>
        </is>
      </c>
      <c r="N1057" t="inlineStr">
        <is>
          <t xml:space="preserve">36 × 30 × 3</t>
        </is>
      </c>
      <c r="O1057" t="inlineStr">
        <is>
          <t xml:space="preserve">0,52</t>
        </is>
      </c>
      <c r="P1057" t="inlineStr">
        <is>
          <t xml:space="preserve">4816148174246</t>
        </is>
      </c>
      <c r="Q1057" s="3" t="str">
        <f>HYPERLINK("https://modify.by/img/740168600/1.webp","фото")</f>
        <v>фото</v>
      </c>
      <c r="R1057" s="3" t="str">
        <f>HYPERLINK("https://modify.by/catalog/svitery/740168600/?utm_source=price&amp;utm_medium=xlsx","открыть")</f>
        <v>открыть</v>
      </c>
    </row>
    <row r="1058">
      <c r="A1058" t="inlineStr">
        <is>
          <t xml:space="preserve">Мужской</t>
        </is>
      </c>
      <c r="B1058" t="inlineStr">
        <is>
          <t xml:space="preserve">Свитеры</t>
        </is>
      </c>
      <c r="C1058" t="inlineStr">
        <is>
          <t xml:space="preserve">Свитер оверсайз хлопковый базовый</t>
        </is>
      </c>
      <c r="D1058" t="inlineStr">
        <is>
          <t xml:space="preserve">SW62M10синий</t>
        </is>
      </c>
      <c r="E1058" t="inlineStr">
        <is>
          <t xml:space="preserve">светло-синий, синий, дымчатый синий</t>
        </is>
      </c>
      <c r="F1058" t="inlineStr">
        <is>
          <t xml:space="preserve">56</t>
        </is>
      </c>
      <c r="G1058">
        <v>5</v>
      </c>
      <c r="H1058" s="2">
        <v>36.0</v>
      </c>
      <c r="I1058" t="inlineStr">
        <is>
          <t xml:space="preserve">хлопок 100%</t>
        </is>
      </c>
      <c r="J1058"/>
      <c r="K1058" t="inlineStr">
        <is>
          <t xml:space="preserve">Бангладеш</t>
        </is>
      </c>
      <c r="L1058" t="inlineStr">
        <is>
          <t xml:space="preserve">6110209100</t>
        </is>
      </c>
      <c r="M1058" t="inlineStr">
        <is>
          <t xml:space="preserve">Декларация № ЕАЭС № BY/112 11.01. ТР017 122.01 08246, до 19.04.2028</t>
        </is>
      </c>
      <c r="N1058" t="inlineStr">
        <is>
          <t xml:space="preserve">36 × 30 × 3</t>
        </is>
      </c>
      <c r="O1058" t="inlineStr">
        <is>
          <t xml:space="preserve">0,52</t>
        </is>
      </c>
      <c r="P1058" t="inlineStr">
        <is>
          <t xml:space="preserve">4816148174253</t>
        </is>
      </c>
      <c r="Q1058" s="3" t="str">
        <f>HYPERLINK("https://modify.by/img/740168600/1.webp","фото")</f>
        <v>фото</v>
      </c>
      <c r="R1058" s="3" t="str">
        <f>HYPERLINK("https://modify.by/catalog/svitery/740168600/?utm_source=price&amp;utm_medium=xlsx","открыть")</f>
        <v>открыть</v>
      </c>
    </row>
    <row r="1059">
      <c r="A1059" t="inlineStr">
        <is>
          <t xml:space="preserve">Мужской</t>
        </is>
      </c>
      <c r="B1059" t="inlineStr">
        <is>
          <t xml:space="preserve">Свитеры</t>
        </is>
      </c>
      <c r="C1059" t="inlineStr">
        <is>
          <t xml:space="preserve">Свитер оверсайз хлопковый базовый</t>
        </is>
      </c>
      <c r="D1059" t="inlineStr">
        <is>
          <t xml:space="preserve">SW62M10синий</t>
        </is>
      </c>
      <c r="E1059" t="inlineStr">
        <is>
          <t xml:space="preserve">светло-синий, синий, дымчатый синий</t>
        </is>
      </c>
      <c r="F1059" t="inlineStr">
        <is>
          <t xml:space="preserve">58</t>
        </is>
      </c>
      <c r="G1059">
        <v>21</v>
      </c>
      <c r="H1059" s="2">
        <v>36.0</v>
      </c>
      <c r="I1059" t="inlineStr">
        <is>
          <t xml:space="preserve">хлопок 100%</t>
        </is>
      </c>
      <c r="J1059"/>
      <c r="K1059" t="inlineStr">
        <is>
          <t xml:space="preserve">Бангладеш</t>
        </is>
      </c>
      <c r="L1059" t="inlineStr">
        <is>
          <t xml:space="preserve">6110209100</t>
        </is>
      </c>
      <c r="M1059" t="inlineStr">
        <is>
          <t xml:space="preserve">Декларация № ЕАЭС № BY/112 11.01. ТР017 122.01 08246, до 19.04.2028</t>
        </is>
      </c>
      <c r="N1059" t="inlineStr">
        <is>
          <t xml:space="preserve">36 × 30 × 3</t>
        </is>
      </c>
      <c r="O1059" t="inlineStr">
        <is>
          <t xml:space="preserve">0,52</t>
        </is>
      </c>
      <c r="P1059" t="inlineStr">
        <is>
          <t xml:space="preserve">4816148174260</t>
        </is>
      </c>
      <c r="Q1059" s="3" t="str">
        <f>HYPERLINK("https://modify.by/img/740168600/1.webp","фото")</f>
        <v>фото</v>
      </c>
      <c r="R1059" s="3" t="str">
        <f>HYPERLINK("https://modify.by/catalog/svitery/740168600/?utm_source=price&amp;utm_medium=xlsx","открыть")</f>
        <v>открыть</v>
      </c>
    </row>
    <row r="1060">
      <c r="A1060" t="inlineStr">
        <is>
          <t xml:space="preserve">Мужской</t>
        </is>
      </c>
      <c r="B1060" t="inlineStr">
        <is>
          <t xml:space="preserve">Свитеры</t>
        </is>
      </c>
      <c r="C1060" t="inlineStr">
        <is>
          <t xml:space="preserve">Свитер оверсайз хлопковый большие размеры, серо-зеленый</t>
        </is>
      </c>
      <c r="D1060" t="inlineStr">
        <is>
          <t xml:space="preserve">SW62M10серо-зеленый</t>
        </is>
      </c>
      <c r="E1060" t="inlineStr">
        <is>
          <t xml:space="preserve">серо-зеленый</t>
        </is>
      </c>
      <c r="F1060" t="inlineStr">
        <is>
          <t xml:space="preserve">52</t>
        </is>
      </c>
      <c r="G1060">
        <v>12</v>
      </c>
      <c r="H1060" s="2">
        <v>36.0</v>
      </c>
      <c r="I1060" t="inlineStr">
        <is>
          <t xml:space="preserve">хлопок 100%</t>
        </is>
      </c>
      <c r="J1060"/>
      <c r="K1060" t="inlineStr">
        <is>
          <t xml:space="preserve">Бангладеш</t>
        </is>
      </c>
      <c r="L1060" t="inlineStr">
        <is>
          <t xml:space="preserve">6110209100</t>
        </is>
      </c>
      <c r="M1060" t="inlineStr">
        <is>
          <t xml:space="preserve">Декларация № ЕАЭС № BY/112 11.01. ТР017 122.01 08246, до 19.04.2028</t>
        </is>
      </c>
      <c r="N1060" t="inlineStr">
        <is>
          <t xml:space="preserve">36 × 30 × 3</t>
        </is>
      </c>
      <c r="O1060" t="inlineStr">
        <is>
          <t xml:space="preserve">0,52</t>
        </is>
      </c>
      <c r="P1060" t="inlineStr">
        <is>
          <t xml:space="preserve">4816148173867</t>
        </is>
      </c>
      <c r="Q1060" s="3" t="str">
        <f>HYPERLINK("https://modify.by/img/732935727/1.webp","фото")</f>
        <v>фото</v>
      </c>
      <c r="R1060" s="3" t="str">
        <f>HYPERLINK("https://modify.by/catalog/svitery/732935727/?utm_source=price&amp;utm_medium=xlsx","открыть")</f>
        <v>открыть</v>
      </c>
    </row>
    <row r="1061">
      <c r="A1061" t="inlineStr">
        <is>
          <t xml:space="preserve">Мужской</t>
        </is>
      </c>
      <c r="B1061" t="inlineStr">
        <is>
          <t xml:space="preserve">Свитеры</t>
        </is>
      </c>
      <c r="C1061" t="inlineStr">
        <is>
          <t xml:space="preserve">Свитер оверсайз хлопковый большие размеры, серо-зеленый</t>
        </is>
      </c>
      <c r="D1061" t="inlineStr">
        <is>
          <t xml:space="preserve">SW62M10серо-зеленый</t>
        </is>
      </c>
      <c r="E1061" t="inlineStr">
        <is>
          <t xml:space="preserve">серо-зеленый</t>
        </is>
      </c>
      <c r="F1061" t="inlineStr">
        <is>
          <t xml:space="preserve">54</t>
        </is>
      </c>
      <c r="G1061">
        <v>7</v>
      </c>
      <c r="H1061" s="2">
        <v>36.0</v>
      </c>
      <c r="I1061" t="inlineStr">
        <is>
          <t xml:space="preserve">хлопок 100%</t>
        </is>
      </c>
      <c r="J1061"/>
      <c r="K1061" t="inlineStr">
        <is>
          <t xml:space="preserve">Бангладеш</t>
        </is>
      </c>
      <c r="L1061" t="inlineStr">
        <is>
          <t xml:space="preserve">6110209100</t>
        </is>
      </c>
      <c r="M1061" t="inlineStr">
        <is>
          <t xml:space="preserve">Декларация № ЕАЭС № BY/112 11.01. ТР017 122.01 08246, до 19.04.2028</t>
        </is>
      </c>
      <c r="N1061" t="inlineStr">
        <is>
          <t xml:space="preserve">36 × 30 × 3</t>
        </is>
      </c>
      <c r="O1061" t="inlineStr">
        <is>
          <t xml:space="preserve">0,52</t>
        </is>
      </c>
      <c r="P1061" t="inlineStr">
        <is>
          <t xml:space="preserve">4816148173874</t>
        </is>
      </c>
      <c r="Q1061" s="3" t="str">
        <f>HYPERLINK("https://modify.by/img/732935727/1.webp","фото")</f>
        <v>фото</v>
      </c>
      <c r="R1061" s="3" t="str">
        <f>HYPERLINK("https://modify.by/catalog/svitery/732935727/?utm_source=price&amp;utm_medium=xlsx","открыть")</f>
        <v>открыть</v>
      </c>
    </row>
    <row r="1062">
      <c r="A1062" t="inlineStr">
        <is>
          <t xml:space="preserve">Мужской</t>
        </is>
      </c>
      <c r="B1062" t="inlineStr">
        <is>
          <t xml:space="preserve">Свитеры</t>
        </is>
      </c>
      <c r="C1062" t="inlineStr">
        <is>
          <t xml:space="preserve">Свитер оверсайз хлопковый большие размеры, серо-зеленый</t>
        </is>
      </c>
      <c r="D1062" t="inlineStr">
        <is>
          <t xml:space="preserve">SW62M10серо-зеленый</t>
        </is>
      </c>
      <c r="E1062" t="inlineStr">
        <is>
          <t xml:space="preserve">серо-зеленый</t>
        </is>
      </c>
      <c r="F1062" t="inlineStr">
        <is>
          <t xml:space="preserve">56</t>
        </is>
      </c>
      <c r="G1062">
        <v>2</v>
      </c>
      <c r="H1062" s="2">
        <v>36.0</v>
      </c>
      <c r="I1062" t="inlineStr">
        <is>
          <t xml:space="preserve">хлопок 100%</t>
        </is>
      </c>
      <c r="J1062"/>
      <c r="K1062" t="inlineStr">
        <is>
          <t xml:space="preserve">Бангладеш</t>
        </is>
      </c>
      <c r="L1062" t="inlineStr">
        <is>
          <t xml:space="preserve">6110209100</t>
        </is>
      </c>
      <c r="M1062" t="inlineStr">
        <is>
          <t xml:space="preserve">Декларация № ЕАЭС № BY/112 11.01. ТР017 122.01 08246, до 19.04.2028</t>
        </is>
      </c>
      <c r="N1062" t="inlineStr">
        <is>
          <t xml:space="preserve">36 × 30 × 3</t>
        </is>
      </c>
      <c r="O1062" t="inlineStr">
        <is>
          <t xml:space="preserve">0,52</t>
        </is>
      </c>
      <c r="P1062" t="inlineStr">
        <is>
          <t xml:space="preserve">4816148173881</t>
        </is>
      </c>
      <c r="Q1062" s="3" t="str">
        <f>HYPERLINK("https://modify.by/img/732935727/1.webp","фото")</f>
        <v>фото</v>
      </c>
      <c r="R1062" s="3" t="str">
        <f>HYPERLINK("https://modify.by/catalog/svitery/732935727/?utm_source=price&amp;utm_medium=xlsx","открыть")</f>
        <v>открыть</v>
      </c>
    </row>
    <row r="1063">
      <c r="A1063" t="inlineStr">
        <is>
          <t xml:space="preserve">Мужской</t>
        </is>
      </c>
      <c r="B1063" t="inlineStr">
        <is>
          <t xml:space="preserve">Свитеры</t>
        </is>
      </c>
      <c r="C1063" t="inlineStr">
        <is>
          <t xml:space="preserve">Свитер оверсайз хлопковый большие размеры, серо-зеленый</t>
        </is>
      </c>
      <c r="D1063" t="inlineStr">
        <is>
          <t xml:space="preserve">SW62M10серо-зеленый</t>
        </is>
      </c>
      <c r="E1063" t="inlineStr">
        <is>
          <t xml:space="preserve">серо-зеленый</t>
        </is>
      </c>
      <c r="F1063" t="inlineStr">
        <is>
          <t xml:space="preserve">58</t>
        </is>
      </c>
      <c r="G1063">
        <v>6</v>
      </c>
      <c r="H1063" s="2">
        <v>36.0</v>
      </c>
      <c r="I1063" t="inlineStr">
        <is>
          <t xml:space="preserve">хлопок 100%</t>
        </is>
      </c>
      <c r="J1063"/>
      <c r="K1063" t="inlineStr">
        <is>
          <t xml:space="preserve">Бангладеш</t>
        </is>
      </c>
      <c r="L1063" t="inlineStr">
        <is>
          <t xml:space="preserve">6110209100</t>
        </is>
      </c>
      <c r="M1063" t="inlineStr">
        <is>
          <t xml:space="preserve">Декларация № ЕАЭС № BY/112 11.01. ТР017 122.01 08246, до 19.04.2028</t>
        </is>
      </c>
      <c r="N1063" t="inlineStr">
        <is>
          <t xml:space="preserve">36 × 30 × 3</t>
        </is>
      </c>
      <c r="O1063" t="inlineStr">
        <is>
          <t xml:space="preserve">0,52</t>
        </is>
      </c>
      <c r="P1063" t="inlineStr">
        <is>
          <t xml:space="preserve">4816148173898</t>
        </is>
      </c>
      <c r="Q1063" s="3" t="str">
        <f>HYPERLINK("https://modify.by/img/732935727/1.webp","фото")</f>
        <v>фото</v>
      </c>
      <c r="R1063" s="3" t="str">
        <f>HYPERLINK("https://modify.by/catalog/svitery/732935727/?utm_source=price&amp;utm_medium=xlsx","открыть")</f>
        <v>открыть</v>
      </c>
    </row>
    <row r="1064">
      <c r="A1064" t="inlineStr">
        <is>
          <t xml:space="preserve">Мужской</t>
        </is>
      </c>
      <c r="B1064" t="inlineStr">
        <is>
          <t xml:space="preserve">Свитеры</t>
        </is>
      </c>
      <c r="C1064" t="inlineStr">
        <is>
          <t xml:space="preserve">Свитер оверсайз хлопковый большие размеры, синий меланж</t>
        </is>
      </c>
      <c r="D1064" t="inlineStr">
        <is>
          <t xml:space="preserve">SW62M11синий_меланж</t>
        </is>
      </c>
      <c r="E1064" t="inlineStr">
        <is>
          <t xml:space="preserve">синий меланж, серо-голубой</t>
        </is>
      </c>
      <c r="F1064" t="inlineStr">
        <is>
          <t xml:space="preserve">50</t>
        </is>
      </c>
      <c r="G1064">
        <v>9</v>
      </c>
      <c r="H1064" s="2">
        <v>32.0</v>
      </c>
      <c r="I1064" t="inlineStr">
        <is>
          <t xml:space="preserve">хлопок 100%</t>
        </is>
      </c>
      <c r="J1064"/>
      <c r="K1064" t="inlineStr">
        <is>
          <t xml:space="preserve">Бангладеш</t>
        </is>
      </c>
      <c r="L1064" t="inlineStr">
        <is>
          <t xml:space="preserve">6110209100</t>
        </is>
      </c>
      <c r="M1064" t="inlineStr">
        <is>
          <t xml:space="preserve">Декларация № ЕАЭС № BY/112 11.01. ТР017 122.01 08246, до 19.04.2028</t>
        </is>
      </c>
      <c r="N1064" t="inlineStr">
        <is>
          <t xml:space="preserve">37 × 30 × 3</t>
        </is>
      </c>
      <c r="O1064" t="inlineStr">
        <is>
          <t xml:space="preserve">0,41</t>
        </is>
      </c>
      <c r="P1064" t="inlineStr">
        <is>
          <t xml:space="preserve">4816148174468</t>
        </is>
      </c>
      <c r="Q1064" s="3" t="str">
        <f>HYPERLINK("https://modify.by/img/744954022/1.webp","фото")</f>
        <v>фото</v>
      </c>
      <c r="R1064" s="3" t="str">
        <f>HYPERLINK("https://modify.by/catalog/svitery/744954022/?utm_source=price&amp;utm_medium=xlsx","открыть")</f>
        <v>открыть</v>
      </c>
    </row>
    <row r="1065">
      <c r="A1065" t="inlineStr">
        <is>
          <t xml:space="preserve">Мужской</t>
        </is>
      </c>
      <c r="B1065" t="inlineStr">
        <is>
          <t xml:space="preserve">Свитеры</t>
        </is>
      </c>
      <c r="C1065" t="inlineStr">
        <is>
          <t xml:space="preserve">Свитер оверсайз хлопковый большие размеры, синий меланж</t>
        </is>
      </c>
      <c r="D1065" t="inlineStr">
        <is>
          <t xml:space="preserve">SW62M11синий_меланж</t>
        </is>
      </c>
      <c r="E1065" t="inlineStr">
        <is>
          <t xml:space="preserve">синий меланж, серо-голубой</t>
        </is>
      </c>
      <c r="F1065" t="inlineStr">
        <is>
          <t xml:space="preserve">52</t>
        </is>
      </c>
      <c r="G1065">
        <v>8</v>
      </c>
      <c r="H1065" s="2">
        <v>32.0</v>
      </c>
      <c r="I1065" t="inlineStr">
        <is>
          <t xml:space="preserve">хлопок 100%</t>
        </is>
      </c>
      <c r="J1065"/>
      <c r="K1065" t="inlineStr">
        <is>
          <t xml:space="preserve">Бангладеш</t>
        </is>
      </c>
      <c r="L1065" t="inlineStr">
        <is>
          <t xml:space="preserve">6110209100</t>
        </is>
      </c>
      <c r="M1065" t="inlineStr">
        <is>
          <t xml:space="preserve">Декларация № ЕАЭС № BY/112 11.01. ТР017 122.01 08246, до 19.04.2028</t>
        </is>
      </c>
      <c r="N1065" t="inlineStr">
        <is>
          <t xml:space="preserve">37 × 30 × 3</t>
        </is>
      </c>
      <c r="O1065" t="inlineStr">
        <is>
          <t xml:space="preserve">0,41</t>
        </is>
      </c>
      <c r="P1065" t="inlineStr">
        <is>
          <t xml:space="preserve">4816148174475</t>
        </is>
      </c>
      <c r="Q1065" s="3" t="str">
        <f>HYPERLINK("https://modify.by/img/744954022/1.webp","фото")</f>
        <v>фото</v>
      </c>
      <c r="R1065" s="3" t="str">
        <f>HYPERLINK("https://modify.by/catalog/svitery/744954022/?utm_source=price&amp;utm_medium=xlsx","открыть")</f>
        <v>открыть</v>
      </c>
    </row>
    <row r="1066">
      <c r="A1066" t="inlineStr">
        <is>
          <t xml:space="preserve">Мужской</t>
        </is>
      </c>
      <c r="B1066" t="inlineStr">
        <is>
          <t xml:space="preserve">Свитеры</t>
        </is>
      </c>
      <c r="C1066" t="inlineStr">
        <is>
          <t xml:space="preserve">Свитер оверсайз хлопковый большие размеры, синий меланж</t>
        </is>
      </c>
      <c r="D1066" t="inlineStr">
        <is>
          <t xml:space="preserve">SW62M11синий_меланж</t>
        </is>
      </c>
      <c r="E1066" t="inlineStr">
        <is>
          <t xml:space="preserve">синий меланж, серо-голубой</t>
        </is>
      </c>
      <c r="F1066" t="inlineStr">
        <is>
          <t xml:space="preserve">54</t>
        </is>
      </c>
      <c r="G1066">
        <v>17</v>
      </c>
      <c r="H1066" s="2">
        <v>32.0</v>
      </c>
      <c r="I1066" t="inlineStr">
        <is>
          <t xml:space="preserve">хлопок 100%</t>
        </is>
      </c>
      <c r="J1066"/>
      <c r="K1066" t="inlineStr">
        <is>
          <t xml:space="preserve">Бангладеш</t>
        </is>
      </c>
      <c r="L1066" t="inlineStr">
        <is>
          <t xml:space="preserve">6110209100</t>
        </is>
      </c>
      <c r="M1066" t="inlineStr">
        <is>
          <t xml:space="preserve">Декларация № ЕАЭС № BY/112 11.01. ТР017 122.01 08246, до 19.04.2028</t>
        </is>
      </c>
      <c r="N1066" t="inlineStr">
        <is>
          <t xml:space="preserve">37 × 30 × 3</t>
        </is>
      </c>
      <c r="O1066" t="inlineStr">
        <is>
          <t xml:space="preserve">0,41</t>
        </is>
      </c>
      <c r="P1066" t="inlineStr">
        <is>
          <t xml:space="preserve">4816148174482</t>
        </is>
      </c>
      <c r="Q1066" s="3" t="str">
        <f>HYPERLINK("https://modify.by/img/744954022/1.webp","фото")</f>
        <v>фото</v>
      </c>
      <c r="R1066" s="3" t="str">
        <f>HYPERLINK("https://modify.by/catalog/svitery/744954022/?utm_source=price&amp;utm_medium=xlsx","открыть")</f>
        <v>открыть</v>
      </c>
    </row>
    <row r="1067">
      <c r="A1067" t="inlineStr">
        <is>
          <t xml:space="preserve">Мужской</t>
        </is>
      </c>
      <c r="B1067" t="inlineStr">
        <is>
          <t xml:space="preserve">Свитеры</t>
        </is>
      </c>
      <c r="C1067" t="inlineStr">
        <is>
          <t xml:space="preserve">Свитер оверсайз хлопковый большие размеры, синий меланж</t>
        </is>
      </c>
      <c r="D1067" t="inlineStr">
        <is>
          <t xml:space="preserve">SW62M11синий_меланж</t>
        </is>
      </c>
      <c r="E1067" t="inlineStr">
        <is>
          <t xml:space="preserve">синий меланж, серо-голубой</t>
        </is>
      </c>
      <c r="F1067" t="inlineStr">
        <is>
          <t xml:space="preserve">56</t>
        </is>
      </c>
      <c r="G1067">
        <v>45</v>
      </c>
      <c r="H1067" s="2">
        <v>32.0</v>
      </c>
      <c r="I1067" t="inlineStr">
        <is>
          <t xml:space="preserve">хлопок 100%</t>
        </is>
      </c>
      <c r="J1067"/>
      <c r="K1067" t="inlineStr">
        <is>
          <t xml:space="preserve">Бангладеш</t>
        </is>
      </c>
      <c r="L1067" t="inlineStr">
        <is>
          <t xml:space="preserve">6110209100</t>
        </is>
      </c>
      <c r="M1067" t="inlineStr">
        <is>
          <t xml:space="preserve">Декларация № ЕАЭС № BY/112 11.01. ТР017 122.01 08246, до 19.04.2028</t>
        </is>
      </c>
      <c r="N1067" t="inlineStr">
        <is>
          <t xml:space="preserve">37 × 30 × 3</t>
        </is>
      </c>
      <c r="O1067" t="inlineStr">
        <is>
          <t xml:space="preserve">0,41</t>
        </is>
      </c>
      <c r="P1067" t="inlineStr">
        <is>
          <t xml:space="preserve">4816148174499</t>
        </is>
      </c>
      <c r="Q1067" s="3" t="str">
        <f>HYPERLINK("https://modify.by/img/744954022/1.webp","фото")</f>
        <v>фото</v>
      </c>
      <c r="R1067" s="3" t="str">
        <f>HYPERLINK("https://modify.by/catalog/svitery/744954022/?utm_source=price&amp;utm_medium=xlsx","открыть")</f>
        <v>открыть</v>
      </c>
    </row>
    <row r="1068">
      <c r="A1068" t="inlineStr">
        <is>
          <t xml:space="preserve">Мужской</t>
        </is>
      </c>
      <c r="B1068" t="inlineStr">
        <is>
          <t xml:space="preserve">Свитеры</t>
        </is>
      </c>
      <c r="C1068" t="inlineStr">
        <is>
          <t xml:space="preserve">Свитер оверсайз хлопковый большие размеры, синий меланж</t>
        </is>
      </c>
      <c r="D1068" t="inlineStr">
        <is>
          <t xml:space="preserve">SW62M11синий_меланж</t>
        </is>
      </c>
      <c r="E1068" t="inlineStr">
        <is>
          <t xml:space="preserve">синий меланж, серо-голубой</t>
        </is>
      </c>
      <c r="F1068" t="inlineStr">
        <is>
          <t xml:space="preserve">58</t>
        </is>
      </c>
      <c r="G1068">
        <v>16</v>
      </c>
      <c r="H1068" s="2">
        <v>32.0</v>
      </c>
      <c r="I1068" t="inlineStr">
        <is>
          <t xml:space="preserve">хлопок 100%</t>
        </is>
      </c>
      <c r="J1068"/>
      <c r="K1068" t="inlineStr">
        <is>
          <t xml:space="preserve">Бангладеш</t>
        </is>
      </c>
      <c r="L1068" t="inlineStr">
        <is>
          <t xml:space="preserve">6110209100</t>
        </is>
      </c>
      <c r="M1068" t="inlineStr">
        <is>
          <t xml:space="preserve">Декларация № ЕАЭС № BY/112 11.01. ТР017 122.01 08246, до 19.04.2028</t>
        </is>
      </c>
      <c r="N1068" t="inlineStr">
        <is>
          <t xml:space="preserve">37 × 30 × 3</t>
        </is>
      </c>
      <c r="O1068" t="inlineStr">
        <is>
          <t xml:space="preserve">0,41</t>
        </is>
      </c>
      <c r="P1068" t="inlineStr">
        <is>
          <t xml:space="preserve">4816148174505</t>
        </is>
      </c>
      <c r="Q1068" s="3" t="str">
        <f>HYPERLINK("https://modify.by/img/744954022/1.webp","фото")</f>
        <v>фото</v>
      </c>
      <c r="R1068" s="3" t="str">
        <f>HYPERLINK("https://modify.by/catalog/svitery/744954022/?utm_source=price&amp;utm_medium=xlsx","открыть")</f>
        <v>открыть</v>
      </c>
    </row>
    <row r="1069">
      <c r="A1069" t="inlineStr">
        <is>
          <t xml:space="preserve">Мужской</t>
        </is>
      </c>
      <c r="B1069" t="inlineStr">
        <is>
          <t xml:space="preserve">Свитеры</t>
        </is>
      </c>
      <c r="C1069" t="inlineStr">
        <is>
          <t xml:space="preserve">Свитер оверсайз хлопковый очень большие размеры, бежевый</t>
        </is>
      </c>
      <c r="D1069" t="inlineStr">
        <is>
          <t xml:space="preserve">SW62M10_big_бежевый</t>
        </is>
      </c>
      <c r="E1069" t="inlineStr">
        <is>
          <t xml:space="preserve">бежевый, зернистый светло-бежевый</t>
        </is>
      </c>
      <c r="F1069" t="inlineStr">
        <is>
          <t xml:space="preserve">60</t>
        </is>
      </c>
      <c r="G1069">
        <v>7</v>
      </c>
      <c r="H1069" s="2">
        <v>36.0</v>
      </c>
      <c r="I1069" t="inlineStr">
        <is>
          <t xml:space="preserve">хлопок 100%</t>
        </is>
      </c>
      <c r="J1069"/>
      <c r="K1069" t="inlineStr">
        <is>
          <t xml:space="preserve">Бангладеш</t>
        </is>
      </c>
      <c r="L1069" t="inlineStr">
        <is>
          <t xml:space="preserve">6110209100</t>
        </is>
      </c>
      <c r="M1069" t="inlineStr">
        <is>
          <t xml:space="preserve">Декларация № ЕАЭС № BY/112 11.01. ТР017 122.01 08246, до 19.04.2028</t>
        </is>
      </c>
      <c r="N1069" t="inlineStr">
        <is>
          <t xml:space="preserve">37 × 30 × 4</t>
        </is>
      </c>
      <c r="O1069" t="inlineStr">
        <is>
          <t xml:space="preserve">0,68</t>
        </is>
      </c>
      <c r="P1069" t="inlineStr">
        <is>
          <t xml:space="preserve">4816148174154</t>
        </is>
      </c>
      <c r="Q1069" s="3" t="str">
        <f>HYPERLINK("https://modify.by/img/732935754/1.webp","фото")</f>
        <v>фото</v>
      </c>
      <c r="R1069" s="3" t="str">
        <f>HYPERLINK("https://modify.by/catalog/svitery/732935754/?utm_source=price&amp;utm_medium=xlsx","открыть")</f>
        <v>открыть</v>
      </c>
    </row>
    <row r="1070">
      <c r="A1070" t="inlineStr">
        <is>
          <t xml:space="preserve">Мужской</t>
        </is>
      </c>
      <c r="B1070" t="inlineStr">
        <is>
          <t xml:space="preserve">Свитеры</t>
        </is>
      </c>
      <c r="C1070" t="inlineStr">
        <is>
          <t xml:space="preserve">Свитер оверсайз хлопковый очень большие размеры, светло-синий</t>
        </is>
      </c>
      <c r="D1070" t="inlineStr">
        <is>
          <t xml:space="preserve">SW62M10_big_синий</t>
        </is>
      </c>
      <c r="E1070" t="inlineStr">
        <is>
          <t xml:space="preserve">светло-синий, пастельно-синий</t>
        </is>
      </c>
      <c r="F1070" t="inlineStr">
        <is>
          <t xml:space="preserve">60</t>
        </is>
      </c>
      <c r="G1070">
        <v>25</v>
      </c>
      <c r="H1070" s="2">
        <v>36.0</v>
      </c>
      <c r="I1070" t="inlineStr">
        <is>
          <t xml:space="preserve">хлопок 100%</t>
        </is>
      </c>
      <c r="J1070"/>
      <c r="K1070" t="inlineStr">
        <is>
          <t xml:space="preserve">Бангладеш</t>
        </is>
      </c>
      <c r="L1070" t="inlineStr">
        <is>
          <t xml:space="preserve">6110209100</t>
        </is>
      </c>
      <c r="M1070" t="inlineStr">
        <is>
          <t xml:space="preserve">Декларация № ЕАЭС № BY/112 11.01. ТР017 122.01 08246, до 19.04.2028</t>
        </is>
      </c>
      <c r="N1070" t="inlineStr">
        <is>
          <t xml:space="preserve">37 × 30 × 4</t>
        </is>
      </c>
      <c r="O1070" t="inlineStr">
        <is>
          <t xml:space="preserve">0,68</t>
        </is>
      </c>
      <c r="P1070" t="inlineStr">
        <is>
          <t xml:space="preserve">4816148174277</t>
        </is>
      </c>
      <c r="Q1070" s="3" t="str">
        <f>HYPERLINK("https://modify.by/img/735649643/1.webp","фото")</f>
        <v>фото</v>
      </c>
      <c r="R1070" s="3" t="str">
        <f>HYPERLINK("https://modify.by/catalog/svitery/735649643/?utm_source=price&amp;utm_medium=xlsx","открыть")</f>
        <v>открыть</v>
      </c>
    </row>
    <row r="1071">
      <c r="A1071" t="inlineStr">
        <is>
          <t xml:space="preserve">Мужской</t>
        </is>
      </c>
      <c r="B1071" t="inlineStr">
        <is>
          <t xml:space="preserve">Свитеры</t>
        </is>
      </c>
      <c r="C1071" t="inlineStr">
        <is>
          <t xml:space="preserve">Свитер оверсайз хлопковый очень большие размеры, светло-синий</t>
        </is>
      </c>
      <c r="D1071" t="inlineStr">
        <is>
          <t xml:space="preserve">SW62M10_big_синий</t>
        </is>
      </c>
      <c r="E1071" t="inlineStr">
        <is>
          <t xml:space="preserve">светло-синий, пастельно-синий</t>
        </is>
      </c>
      <c r="F1071" t="inlineStr">
        <is>
          <t xml:space="preserve">62</t>
        </is>
      </c>
      <c r="G1071">
        <v>10</v>
      </c>
      <c r="H1071" s="2">
        <v>36.0</v>
      </c>
      <c r="I1071" t="inlineStr">
        <is>
          <t xml:space="preserve">хлопок 100%</t>
        </is>
      </c>
      <c r="J1071"/>
      <c r="K1071" t="inlineStr">
        <is>
          <t xml:space="preserve">Бангладеш</t>
        </is>
      </c>
      <c r="L1071" t="inlineStr">
        <is>
          <t xml:space="preserve">6110209100</t>
        </is>
      </c>
      <c r="M1071" t="inlineStr">
        <is>
          <t xml:space="preserve">Декларация № ЕАЭС № BY/112 11.01. ТР017 122.01 08246, до 19.04.2028</t>
        </is>
      </c>
      <c r="N1071" t="inlineStr">
        <is>
          <t xml:space="preserve">37 × 30 × 4</t>
        </is>
      </c>
      <c r="O1071" t="inlineStr">
        <is>
          <t xml:space="preserve">0,68</t>
        </is>
      </c>
      <c r="P1071" t="inlineStr">
        <is>
          <t xml:space="preserve">4816148174284</t>
        </is>
      </c>
      <c r="Q1071" s="3" t="str">
        <f>HYPERLINK("https://modify.by/img/735649643/1.webp","фото")</f>
        <v>фото</v>
      </c>
      <c r="R1071" s="3" t="str">
        <f>HYPERLINK("https://modify.by/catalog/svitery/735649643/?utm_source=price&amp;utm_medium=xlsx","открыть")</f>
        <v>открыть</v>
      </c>
    </row>
    <row r="1072">
      <c r="A1072" t="inlineStr">
        <is>
          <t xml:space="preserve">Мужской</t>
        </is>
      </c>
      <c r="B1072" t="inlineStr">
        <is>
          <t xml:space="preserve">Свитеры</t>
        </is>
      </c>
      <c r="C1072" t="inlineStr">
        <is>
          <t xml:space="preserve">Свитер оверсайз хлопковый очень большие размеры, серо-зеленый</t>
        </is>
      </c>
      <c r="D1072" t="inlineStr">
        <is>
          <t xml:space="preserve">SW62M10_big_серо-зеленый</t>
        </is>
      </c>
      <c r="E1072" t="inlineStr">
        <is>
          <t xml:space="preserve">серо-зеленый</t>
        </is>
      </c>
      <c r="F1072" t="inlineStr">
        <is>
          <t xml:space="preserve">60</t>
        </is>
      </c>
      <c r="G1072">
        <v>3</v>
      </c>
      <c r="H1072" s="2">
        <v>36.0</v>
      </c>
      <c r="I1072" t="inlineStr">
        <is>
          <t xml:space="preserve">хлопок 100%</t>
        </is>
      </c>
      <c r="J1072"/>
      <c r="K1072" t="inlineStr">
        <is>
          <t xml:space="preserve">Бангладеш</t>
        </is>
      </c>
      <c r="L1072" t="inlineStr">
        <is>
          <t xml:space="preserve">6110209100</t>
        </is>
      </c>
      <c r="M1072" t="inlineStr">
        <is>
          <t xml:space="preserve">Декларация № ЕАЭС № BY/112 11.01. ТР017 122.01 08246, до 19.04.2028</t>
        </is>
      </c>
      <c r="N1072" t="inlineStr">
        <is>
          <t xml:space="preserve">37 × 30 × 4</t>
        </is>
      </c>
      <c r="O1072" t="inlineStr">
        <is>
          <t xml:space="preserve">0,68</t>
        </is>
      </c>
      <c r="P1072" t="inlineStr">
        <is>
          <t xml:space="preserve">4816148173904</t>
        </is>
      </c>
      <c r="Q1072" s="3" t="str">
        <f>HYPERLINK("https://modify.by/img/732935735/1.webp","фото")</f>
        <v>фото</v>
      </c>
      <c r="R1072" s="3" t="str">
        <f>HYPERLINK("https://modify.by/catalog/svitery/732935735/?utm_source=price&amp;utm_medium=xlsx","открыть")</f>
        <v>открыть</v>
      </c>
    </row>
    <row r="1073">
      <c r="A1073" t="inlineStr">
        <is>
          <t xml:space="preserve">Мужской</t>
        </is>
      </c>
      <c r="B1073" t="inlineStr">
        <is>
          <t xml:space="preserve">Свитеры</t>
        </is>
      </c>
      <c r="C1073" t="inlineStr">
        <is>
          <t xml:space="preserve">Свитер оверсайз хлопковый, бежевый</t>
        </is>
      </c>
      <c r="D1073" t="inlineStr">
        <is>
          <t xml:space="preserve">SW62M10бежевый</t>
        </is>
      </c>
      <c r="E1073" t="inlineStr">
        <is>
          <t xml:space="preserve">бежевый</t>
        </is>
      </c>
      <c r="F1073" t="inlineStr">
        <is>
          <t xml:space="preserve">52</t>
        </is>
      </c>
      <c r="G1073">
        <v>3</v>
      </c>
      <c r="H1073" s="2">
        <v>36.0</v>
      </c>
      <c r="I1073" t="inlineStr">
        <is>
          <t xml:space="preserve">хлопок 100%</t>
        </is>
      </c>
      <c r="J1073"/>
      <c r="K1073" t="inlineStr">
        <is>
          <t xml:space="preserve">Бангладеш</t>
        </is>
      </c>
      <c r="L1073" t="inlineStr">
        <is>
          <t xml:space="preserve">6110209100</t>
        </is>
      </c>
      <c r="M1073" t="inlineStr">
        <is>
          <t xml:space="preserve">Декларация № ЕАЭС № BY/112 11.01. ТР017 122.01 08246, до 19.04.2028</t>
        </is>
      </c>
      <c r="N1073" t="inlineStr">
        <is>
          <t xml:space="preserve">36 × 30 × 3</t>
        </is>
      </c>
      <c r="O1073" t="inlineStr">
        <is>
          <t xml:space="preserve">0,52</t>
        </is>
      </c>
      <c r="P1073" t="inlineStr">
        <is>
          <t xml:space="preserve">4816148174116</t>
        </is>
      </c>
      <c r="Q1073" s="3" t="str">
        <f>HYPERLINK("https://modify.by/img/732935747/1.webp","фото")</f>
        <v>фото</v>
      </c>
      <c r="R1073" s="3" t="str">
        <f>HYPERLINK("https://modify.by/catalog/svitery/732935747/?utm_source=price&amp;utm_medium=xlsx","открыть")</f>
        <v>открыть</v>
      </c>
    </row>
    <row r="1074">
      <c r="A1074" t="inlineStr">
        <is>
          <t xml:space="preserve">Мужской</t>
        </is>
      </c>
      <c r="B1074" t="inlineStr">
        <is>
          <t xml:space="preserve">Свитеры</t>
        </is>
      </c>
      <c r="C1074" t="inlineStr">
        <is>
          <t xml:space="preserve">Свитер оверсайз хлопковый, бежевый</t>
        </is>
      </c>
      <c r="D1074" t="inlineStr">
        <is>
          <t xml:space="preserve">SW62M10бежевый</t>
        </is>
      </c>
      <c r="E1074" t="inlineStr">
        <is>
          <t xml:space="preserve">бежевый</t>
        </is>
      </c>
      <c r="F1074" t="inlineStr">
        <is>
          <t xml:space="preserve">54</t>
        </is>
      </c>
      <c r="G1074">
        <v>9</v>
      </c>
      <c r="H1074" s="2">
        <v>36.0</v>
      </c>
      <c r="I1074" t="inlineStr">
        <is>
          <t xml:space="preserve">хлопок 100%</t>
        </is>
      </c>
      <c r="J1074"/>
      <c r="K1074" t="inlineStr">
        <is>
          <t xml:space="preserve">Бангладеш</t>
        </is>
      </c>
      <c r="L1074" t="inlineStr">
        <is>
          <t xml:space="preserve">6110209100</t>
        </is>
      </c>
      <c r="M1074" t="inlineStr">
        <is>
          <t xml:space="preserve">Декларация № ЕАЭС № BY/112 11.01. ТР017 122.01 08246, до 19.04.2028</t>
        </is>
      </c>
      <c r="N1074" t="inlineStr">
        <is>
          <t xml:space="preserve">36 × 30 × 3</t>
        </is>
      </c>
      <c r="O1074" t="inlineStr">
        <is>
          <t xml:space="preserve">0,52</t>
        </is>
      </c>
      <c r="P1074" t="inlineStr">
        <is>
          <t xml:space="preserve">4816148174123</t>
        </is>
      </c>
      <c r="Q1074" s="3" t="str">
        <f>HYPERLINK("https://modify.by/img/732935747/1.webp","фото")</f>
        <v>фото</v>
      </c>
      <c r="R1074" s="3" t="str">
        <f>HYPERLINK("https://modify.by/catalog/svitery/732935747/?utm_source=price&amp;utm_medium=xlsx","открыть")</f>
        <v>открыть</v>
      </c>
    </row>
    <row r="1075">
      <c r="A1075" t="inlineStr">
        <is>
          <t xml:space="preserve">Мужской</t>
        </is>
      </c>
      <c r="B1075" t="inlineStr">
        <is>
          <t xml:space="preserve">Свитеры</t>
        </is>
      </c>
      <c r="C1075" t="inlineStr">
        <is>
          <t xml:space="preserve">Свитер оверсайз хлопковый, бежевый</t>
        </is>
      </c>
      <c r="D1075" t="inlineStr">
        <is>
          <t xml:space="preserve">SW62M10бежевый</t>
        </is>
      </c>
      <c r="E1075" t="inlineStr">
        <is>
          <t xml:space="preserve">бежевый</t>
        </is>
      </c>
      <c r="F1075" t="inlineStr">
        <is>
          <t xml:space="preserve">56</t>
        </is>
      </c>
      <c r="G1075">
        <v>7</v>
      </c>
      <c r="H1075" s="2">
        <v>36.0</v>
      </c>
      <c r="I1075" t="inlineStr">
        <is>
          <t xml:space="preserve">хлопок 100%</t>
        </is>
      </c>
      <c r="J1075"/>
      <c r="K1075" t="inlineStr">
        <is>
          <t xml:space="preserve">Бангладеш</t>
        </is>
      </c>
      <c r="L1075" t="inlineStr">
        <is>
          <t xml:space="preserve">6110209100</t>
        </is>
      </c>
      <c r="M1075" t="inlineStr">
        <is>
          <t xml:space="preserve">Декларация № ЕАЭС № BY/112 11.01. ТР017 122.01 08246, до 19.04.2028</t>
        </is>
      </c>
      <c r="N1075" t="inlineStr">
        <is>
          <t xml:space="preserve">36 × 30 × 3</t>
        </is>
      </c>
      <c r="O1075" t="inlineStr">
        <is>
          <t xml:space="preserve">0,52</t>
        </is>
      </c>
      <c r="P1075" t="inlineStr">
        <is>
          <t xml:space="preserve">4816148174130</t>
        </is>
      </c>
      <c r="Q1075" s="3" t="str">
        <f>HYPERLINK("https://modify.by/img/732935747/1.webp","фото")</f>
        <v>фото</v>
      </c>
      <c r="R1075" s="3" t="str">
        <f>HYPERLINK("https://modify.by/catalog/svitery/732935747/?utm_source=price&amp;utm_medium=xlsx","открыть")</f>
        <v>открыть</v>
      </c>
    </row>
    <row r="1076">
      <c r="A1076" t="inlineStr">
        <is>
          <t xml:space="preserve">Мужской</t>
        </is>
      </c>
      <c r="B1076" t="inlineStr">
        <is>
          <t xml:space="preserve">Свитеры</t>
        </is>
      </c>
      <c r="C1076" t="inlineStr">
        <is>
          <t xml:space="preserve">Свитер оверсайз хлопковый, бежевый</t>
        </is>
      </c>
      <c r="D1076" t="inlineStr">
        <is>
          <t xml:space="preserve">SW62M10бежевый</t>
        </is>
      </c>
      <c r="E1076" t="inlineStr">
        <is>
          <t xml:space="preserve">бежевый</t>
        </is>
      </c>
      <c r="F1076" t="inlineStr">
        <is>
          <t xml:space="preserve">58</t>
        </is>
      </c>
      <c r="G1076">
        <v>7</v>
      </c>
      <c r="H1076" s="2">
        <v>36.0</v>
      </c>
      <c r="I1076" t="inlineStr">
        <is>
          <t xml:space="preserve">хлопок 100%</t>
        </is>
      </c>
      <c r="J1076"/>
      <c r="K1076" t="inlineStr">
        <is>
          <t xml:space="preserve">Бангладеш</t>
        </is>
      </c>
      <c r="L1076" t="inlineStr">
        <is>
          <t xml:space="preserve">6110209100</t>
        </is>
      </c>
      <c r="M1076" t="inlineStr">
        <is>
          <t xml:space="preserve">Декларация № ЕАЭС № BY/112 11.01. ТР017 122.01 08246, до 19.04.2028</t>
        </is>
      </c>
      <c r="N1076" t="inlineStr">
        <is>
          <t xml:space="preserve">36 × 30 × 3</t>
        </is>
      </c>
      <c r="O1076" t="inlineStr">
        <is>
          <t xml:space="preserve">0,52</t>
        </is>
      </c>
      <c r="P1076" t="inlineStr">
        <is>
          <t xml:space="preserve">4816148174147</t>
        </is>
      </c>
      <c r="Q1076" s="3" t="str">
        <f>HYPERLINK("https://modify.by/img/732935747/1.webp","фото")</f>
        <v>фото</v>
      </c>
      <c r="R1076" s="3" t="str">
        <f>HYPERLINK("https://modify.by/catalog/svitery/732935747/?utm_source=price&amp;utm_medium=xlsx","открыть")</f>
        <v>открыть</v>
      </c>
    </row>
    <row r="1077">
      <c r="A1077" t="inlineStr">
        <is>
          <t xml:space="preserve">Мужской</t>
        </is>
      </c>
      <c r="B1077" t="inlineStr">
        <is>
          <t xml:space="preserve">Свитеры</t>
        </is>
      </c>
      <c r="C1077" t="inlineStr">
        <is>
          <t xml:space="preserve">Свитер оверсайз хлопковый, коричнево-серый</t>
        </is>
      </c>
      <c r="D1077" t="inlineStr">
        <is>
          <t xml:space="preserve">SW62M10коричнево-серый</t>
        </is>
      </c>
      <c r="E1077" t="inlineStr">
        <is>
          <t xml:space="preserve">коричнево-серый</t>
        </is>
      </c>
      <c r="F1077" t="inlineStr">
        <is>
          <t xml:space="preserve">52</t>
        </is>
      </c>
      <c r="G1077">
        <v>7</v>
      </c>
      <c r="H1077" s="2">
        <v>36.0</v>
      </c>
      <c r="I1077" t="inlineStr">
        <is>
          <t xml:space="preserve">хлопок 100%</t>
        </is>
      </c>
      <c r="J1077"/>
      <c r="K1077" t="inlineStr">
        <is>
          <t xml:space="preserve">Бангладеш</t>
        </is>
      </c>
      <c r="L1077" t="inlineStr">
        <is>
          <t xml:space="preserve">6110209100</t>
        </is>
      </c>
      <c r="M1077" t="inlineStr">
        <is>
          <t xml:space="preserve">Декларация № ЕАЭС № BY/112 11.01. ТР017 122.01 08246, до 19.04.2028</t>
        </is>
      </c>
      <c r="N1077" t="inlineStr">
        <is>
          <t xml:space="preserve">36 × 30 × 3</t>
        </is>
      </c>
      <c r="O1077" t="inlineStr">
        <is>
          <t xml:space="preserve">0,52</t>
        </is>
      </c>
      <c r="P1077" t="inlineStr">
        <is>
          <t xml:space="preserve">4816148173997</t>
        </is>
      </c>
      <c r="Q1077" s="3" t="str">
        <f>HYPERLINK("https://modify.by/img/732935761/1.webp","фото")</f>
        <v>фото</v>
      </c>
      <c r="R1077" s="3" t="str">
        <f>HYPERLINK("https://modify.by/catalog/svitery/732935761/?utm_source=price&amp;utm_medium=xlsx","открыть")</f>
        <v>открыть</v>
      </c>
    </row>
    <row r="1078">
      <c r="A1078" t="inlineStr">
        <is>
          <t xml:space="preserve">Мужской</t>
        </is>
      </c>
      <c r="B1078" t="inlineStr">
        <is>
          <t xml:space="preserve">Свитеры</t>
        </is>
      </c>
      <c r="C1078" t="inlineStr">
        <is>
          <t xml:space="preserve">Свитер оверсайз хлопковый, коричнево-серый</t>
        </is>
      </c>
      <c r="D1078" t="inlineStr">
        <is>
          <t xml:space="preserve">SW62M10коричнево-серый</t>
        </is>
      </c>
      <c r="E1078" t="inlineStr">
        <is>
          <t xml:space="preserve">коричнево-серый</t>
        </is>
      </c>
      <c r="F1078" t="inlineStr">
        <is>
          <t xml:space="preserve">56</t>
        </is>
      </c>
      <c r="G1078">
        <v>13</v>
      </c>
      <c r="H1078" s="2">
        <v>36.0</v>
      </c>
      <c r="I1078" t="inlineStr">
        <is>
          <t xml:space="preserve">хлопок 100%</t>
        </is>
      </c>
      <c r="J1078"/>
      <c r="K1078" t="inlineStr">
        <is>
          <t xml:space="preserve">Бангладеш</t>
        </is>
      </c>
      <c r="L1078" t="inlineStr">
        <is>
          <t xml:space="preserve">6110209100</t>
        </is>
      </c>
      <c r="M1078" t="inlineStr">
        <is>
          <t xml:space="preserve">Декларация № ЕАЭС № BY/112 11.01. ТР017 122.01 08246, до 19.04.2028</t>
        </is>
      </c>
      <c r="N1078" t="inlineStr">
        <is>
          <t xml:space="preserve">36 × 30 × 3</t>
        </is>
      </c>
      <c r="O1078" t="inlineStr">
        <is>
          <t xml:space="preserve">0,52</t>
        </is>
      </c>
      <c r="P1078" t="inlineStr">
        <is>
          <t xml:space="preserve">4816148174017</t>
        </is>
      </c>
      <c r="Q1078" s="3" t="str">
        <f>HYPERLINK("https://modify.by/img/732935761/1.webp","фото")</f>
        <v>фото</v>
      </c>
      <c r="R1078" s="3" t="str">
        <f>HYPERLINK("https://modify.by/catalog/svitery/732935761/?utm_source=price&amp;utm_medium=xlsx","открыть")</f>
        <v>открыть</v>
      </c>
    </row>
    <row r="1079">
      <c r="A1079" t="inlineStr">
        <is>
          <t xml:space="preserve">Мужской</t>
        </is>
      </c>
      <c r="B1079" t="inlineStr">
        <is>
          <t xml:space="preserve">Свитеры</t>
        </is>
      </c>
      <c r="C1079" t="inlineStr">
        <is>
          <t xml:space="preserve">Свитер оверсайз хлопковый, коричнево-серый</t>
        </is>
      </c>
      <c r="D1079" t="inlineStr">
        <is>
          <t xml:space="preserve">SW62M10коричнево-серый</t>
        </is>
      </c>
      <c r="E1079" t="inlineStr">
        <is>
          <t xml:space="preserve">коричнево-серый</t>
        </is>
      </c>
      <c r="F1079" t="inlineStr">
        <is>
          <t xml:space="preserve">58</t>
        </is>
      </c>
      <c r="G1079">
        <v>1</v>
      </c>
      <c r="H1079" s="2">
        <v>36.0</v>
      </c>
      <c r="I1079" t="inlineStr">
        <is>
          <t xml:space="preserve">хлопок 100%</t>
        </is>
      </c>
      <c r="J1079"/>
      <c r="K1079" t="inlineStr">
        <is>
          <t xml:space="preserve">Бангладеш</t>
        </is>
      </c>
      <c r="L1079" t="inlineStr">
        <is>
          <t xml:space="preserve">6110209100</t>
        </is>
      </c>
      <c r="M1079" t="inlineStr">
        <is>
          <t xml:space="preserve">Декларация № ЕАЭС № BY/112 11.01. ТР017 122.01 08246, до 19.04.2028</t>
        </is>
      </c>
      <c r="N1079" t="inlineStr">
        <is>
          <t xml:space="preserve">36 × 30 × 3</t>
        </is>
      </c>
      <c r="O1079" t="inlineStr">
        <is>
          <t xml:space="preserve">0,52</t>
        </is>
      </c>
      <c r="P1079" t="inlineStr">
        <is>
          <t xml:space="preserve">4816148174024</t>
        </is>
      </c>
      <c r="Q1079" s="3" t="str">
        <f>HYPERLINK("https://modify.by/img/732935761/1.webp","фото")</f>
        <v>фото</v>
      </c>
      <c r="R1079" s="3" t="str">
        <f>HYPERLINK("https://modify.by/catalog/svitery/732935761/?utm_source=price&amp;utm_medium=xlsx","открыть")</f>
        <v>открыть</v>
      </c>
    </row>
    <row r="1080">
      <c r="A1080" t="inlineStr">
        <is>
          <t xml:space="preserve">Мужской</t>
        </is>
      </c>
      <c r="B1080" t="inlineStr">
        <is>
          <t xml:space="preserve">Свитеры</t>
        </is>
      </c>
      <c r="C1080" t="inlineStr">
        <is>
          <t xml:space="preserve">Свитер с V образным вырезом однотонный</t>
        </is>
      </c>
      <c r="D1080" t="inlineStr">
        <is>
          <t xml:space="preserve">SW22M23Песочный</t>
        </is>
      </c>
      <c r="E1080" t="inlineStr">
        <is>
          <t xml:space="preserve">песочный</t>
        </is>
      </c>
      <c r="F1080" t="inlineStr">
        <is>
          <t xml:space="preserve">52/182</t>
        </is>
      </c>
      <c r="G1080">
        <v>1</v>
      </c>
      <c r="H1080" s="2">
        <v>25.0</v>
      </c>
      <c r="I1080" t="inlineStr">
        <is>
          <t xml:space="preserve">хлопок 100%</t>
        </is>
      </c>
      <c r="J1080"/>
      <c r="K1080" t="inlineStr">
        <is>
          <t xml:space="preserve">Бангладеш</t>
        </is>
      </c>
      <c r="L1080" t="inlineStr">
        <is>
          <t xml:space="preserve">6110209100</t>
        </is>
      </c>
      <c r="M1080" t="inlineStr">
        <is>
          <t xml:space="preserve">по запросу</t>
        </is>
      </c>
      <c r="N1080"/>
      <c r="O1080"/>
      <c r="P1080" t="inlineStr">
        <is>
          <t xml:space="preserve">2016957047232</t>
        </is>
      </c>
      <c r="Q1080" s="3" t="str">
        <f>HYPERLINK("https://modify.by/img/137996785/1.webp","фото")</f>
        <v>фото</v>
      </c>
      <c r="R1080" s="3" t="str">
        <f>HYPERLINK("https://modify.by/catalog/svitery/137996785/?utm_source=price&amp;utm_medium=xlsx","открыть")</f>
        <v>открыть</v>
      </c>
    </row>
    <row r="1081">
      <c r="A1081" t="inlineStr">
        <is>
          <t xml:space="preserve">Мужской</t>
        </is>
      </c>
      <c r="B1081" t="inlineStr">
        <is>
          <t xml:space="preserve">Свитеры</t>
        </is>
      </c>
      <c r="C1081" t="inlineStr">
        <is>
          <t xml:space="preserve">Свитер с воротником на молнии базовый хлопковый, бежевый</t>
        </is>
      </c>
      <c r="D1081" t="inlineStr">
        <is>
          <t xml:space="preserve">SW62M01бежевый</t>
        </is>
      </c>
      <c r="E1081" t="inlineStr">
        <is>
          <t xml:space="preserve">бежевый</t>
        </is>
      </c>
      <c r="F1081" t="inlineStr">
        <is>
          <t xml:space="preserve">48</t>
        </is>
      </c>
      <c r="G1081">
        <v>3</v>
      </c>
      <c r="H1081" s="2">
        <v>40.0</v>
      </c>
      <c r="I1081" t="inlineStr">
        <is>
          <t xml:space="preserve">хлопок 60%, ПЭ 40 %</t>
        </is>
      </c>
      <c r="J1081"/>
      <c r="K1081" t="inlineStr">
        <is>
          <t xml:space="preserve">Бангладеш</t>
        </is>
      </c>
      <c r="L1081" t="inlineStr">
        <is>
          <t xml:space="preserve">6110209100</t>
        </is>
      </c>
      <c r="M1081" t="inlineStr">
        <is>
          <t xml:space="preserve">Декларация № ЕАЭС № BY/112 11.01. ТР017 122.01 08246, до 19.04.2028</t>
        </is>
      </c>
      <c r="N1081" t="inlineStr">
        <is>
          <t xml:space="preserve">34 × 30 × 3</t>
        </is>
      </c>
      <c r="O1081" t="inlineStr">
        <is>
          <t xml:space="preserve">0,62</t>
        </is>
      </c>
      <c r="P1081" t="inlineStr">
        <is>
          <t xml:space="preserve">4816148174437</t>
        </is>
      </c>
      <c r="Q1081" s="3" t="str">
        <f>HYPERLINK("https://modify.by/img/742337535/1.webp","фото")</f>
        <v>фото</v>
      </c>
      <c r="R1081" s="3" t="str">
        <f>HYPERLINK("https://modify.by/catalog/svitery/742337535/?utm_source=price&amp;utm_medium=xlsx","открыть")</f>
        <v>открыть</v>
      </c>
    </row>
    <row r="1082">
      <c r="A1082" t="inlineStr">
        <is>
          <t xml:space="preserve">Мужской</t>
        </is>
      </c>
      <c r="B1082" t="inlineStr">
        <is>
          <t xml:space="preserve">Свитеры</t>
        </is>
      </c>
      <c r="C1082" t="inlineStr">
        <is>
          <t xml:space="preserve">Свитер с воротником на молнии базовый хлопковый, бежевый</t>
        </is>
      </c>
      <c r="D1082" t="inlineStr">
        <is>
          <t xml:space="preserve">SW62M01бежевый</t>
        </is>
      </c>
      <c r="E1082" t="inlineStr">
        <is>
          <t xml:space="preserve">бежевый</t>
        </is>
      </c>
      <c r="F1082" t="inlineStr">
        <is>
          <t xml:space="preserve">50</t>
        </is>
      </c>
      <c r="G1082">
        <v>24</v>
      </c>
      <c r="H1082" s="2">
        <v>40.0</v>
      </c>
      <c r="I1082" t="inlineStr">
        <is>
          <t xml:space="preserve">хлопок 60%, ПЭ 40 %</t>
        </is>
      </c>
      <c r="J1082"/>
      <c r="K1082" t="inlineStr">
        <is>
          <t xml:space="preserve">Бангладеш</t>
        </is>
      </c>
      <c r="L1082" t="inlineStr">
        <is>
          <t xml:space="preserve">6110209100</t>
        </is>
      </c>
      <c r="M1082" t="inlineStr">
        <is>
          <t xml:space="preserve">Декларация № ЕАЭС № BY/112 11.01. ТР017 122.01 08246, до 19.04.2028</t>
        </is>
      </c>
      <c r="N1082" t="inlineStr">
        <is>
          <t xml:space="preserve">34 × 30 × 3</t>
        </is>
      </c>
      <c r="O1082" t="inlineStr">
        <is>
          <t xml:space="preserve">0,62</t>
        </is>
      </c>
      <c r="P1082" t="inlineStr">
        <is>
          <t xml:space="preserve">4816148174444</t>
        </is>
      </c>
      <c r="Q1082" s="3" t="str">
        <f>HYPERLINK("https://modify.by/img/742337535/1.webp","фото")</f>
        <v>фото</v>
      </c>
      <c r="R1082" s="3" t="str">
        <f>HYPERLINK("https://modify.by/catalog/svitery/742337535/?utm_source=price&amp;utm_medium=xlsx","открыть")</f>
        <v>открыть</v>
      </c>
    </row>
    <row r="1083">
      <c r="A1083" t="inlineStr">
        <is>
          <t xml:space="preserve">Мужской</t>
        </is>
      </c>
      <c r="B1083" t="inlineStr">
        <is>
          <t xml:space="preserve">Свитеры</t>
        </is>
      </c>
      <c r="C1083" t="inlineStr">
        <is>
          <t xml:space="preserve">Свитер с воротником на молнии базовый хлопковый, бежевый</t>
        </is>
      </c>
      <c r="D1083" t="inlineStr">
        <is>
          <t xml:space="preserve">SW62M01бежевый</t>
        </is>
      </c>
      <c r="E1083" t="inlineStr">
        <is>
          <t xml:space="preserve">бежевый</t>
        </is>
      </c>
      <c r="F1083" t="inlineStr">
        <is>
          <t xml:space="preserve">52</t>
        </is>
      </c>
      <c r="G1083">
        <v>4</v>
      </c>
      <c r="H1083" s="2">
        <v>40.0</v>
      </c>
      <c r="I1083" t="inlineStr">
        <is>
          <t xml:space="preserve">хлопок 60%, ПЭ 40 %</t>
        </is>
      </c>
      <c r="J1083"/>
      <c r="K1083" t="inlineStr">
        <is>
          <t xml:space="preserve">Бангладеш</t>
        </is>
      </c>
      <c r="L1083" t="inlineStr">
        <is>
          <t xml:space="preserve">6110209100</t>
        </is>
      </c>
      <c r="M1083" t="inlineStr">
        <is>
          <t xml:space="preserve">Декларация № ЕАЭС № BY/112 11.01. ТР017 122.01 08246, до 19.04.2028</t>
        </is>
      </c>
      <c r="N1083" t="inlineStr">
        <is>
          <t xml:space="preserve">34 × 30 × 3</t>
        </is>
      </c>
      <c r="O1083" t="inlineStr">
        <is>
          <t xml:space="preserve">0,62</t>
        </is>
      </c>
      <c r="P1083" t="inlineStr">
        <is>
          <t xml:space="preserve">4816148174451</t>
        </is>
      </c>
      <c r="Q1083" s="3" t="str">
        <f>HYPERLINK("https://modify.by/img/742337535/1.webp","фото")</f>
        <v>фото</v>
      </c>
      <c r="R1083" s="3" t="str">
        <f>HYPERLINK("https://modify.by/catalog/svitery/742337535/?utm_source=price&amp;utm_medium=xlsx","открыть")</f>
        <v>открыть</v>
      </c>
    </row>
    <row r="1084">
      <c r="A1084" t="inlineStr">
        <is>
          <t xml:space="preserve">Мужской</t>
        </is>
      </c>
      <c r="B1084" t="inlineStr">
        <is>
          <t xml:space="preserve">Свитеры</t>
        </is>
      </c>
      <c r="C1084" t="inlineStr">
        <is>
          <t xml:space="preserve">Свитер с воротником на молнии базовый хлопковый, серый</t>
        </is>
      </c>
      <c r="D1084" t="inlineStr">
        <is>
          <t xml:space="preserve">SW62M01серый</t>
        </is>
      </c>
      <c r="E1084" t="inlineStr">
        <is>
          <t xml:space="preserve">серый, светло-серый</t>
        </is>
      </c>
      <c r="F1084" t="inlineStr">
        <is>
          <t xml:space="preserve">42</t>
        </is>
      </c>
      <c r="G1084">
        <v>32</v>
      </c>
      <c r="H1084" s="2">
        <v>40.0</v>
      </c>
      <c r="I1084" t="inlineStr">
        <is>
          <t xml:space="preserve">хлопок 60%, ПЭ 40 %</t>
        </is>
      </c>
      <c r="J1084"/>
      <c r="K1084" t="inlineStr">
        <is>
          <t xml:space="preserve">Бангладеш</t>
        </is>
      </c>
      <c r="L1084" t="inlineStr">
        <is>
          <t xml:space="preserve">6110209100</t>
        </is>
      </c>
      <c r="M1084" t="inlineStr">
        <is>
          <t xml:space="preserve">Декларация № ЕАЭС № BY/112 11.01. ТР017 122.01 08246, до 19.04.2028</t>
        </is>
      </c>
      <c r="N1084" t="inlineStr">
        <is>
          <t xml:space="preserve">35 × 30 × 4</t>
        </is>
      </c>
      <c r="O1084" t="inlineStr">
        <is>
          <t xml:space="preserve">0,62</t>
        </is>
      </c>
      <c r="P1084" t="inlineStr">
        <is>
          <t xml:space="preserve">4816148174765</t>
        </is>
      </c>
      <c r="Q1084" s="3" t="str">
        <f>HYPERLINK("https://modify.by/img/751068789/1.webp","фото")</f>
        <v>фото</v>
      </c>
      <c r="R1084" s="3" t="str">
        <f>HYPERLINK("https://modify.by/catalog/svitery/751068789/?utm_source=price&amp;utm_medium=xlsx","открыть")</f>
        <v>открыть</v>
      </c>
    </row>
    <row r="1085">
      <c r="A1085" t="inlineStr">
        <is>
          <t xml:space="preserve">Мужской</t>
        </is>
      </c>
      <c r="B1085" t="inlineStr">
        <is>
          <t xml:space="preserve">Свитеры</t>
        </is>
      </c>
      <c r="C1085" t="inlineStr">
        <is>
          <t xml:space="preserve">Свитер с воротником на молнии базовый хлопковый, серый</t>
        </is>
      </c>
      <c r="D1085" t="inlineStr">
        <is>
          <t xml:space="preserve">SW62M01серый</t>
        </is>
      </c>
      <c r="E1085" t="inlineStr">
        <is>
          <t xml:space="preserve">серый, светло-серый</t>
        </is>
      </c>
      <c r="F1085" t="inlineStr">
        <is>
          <t xml:space="preserve">44</t>
        </is>
      </c>
      <c r="G1085">
        <v>26</v>
      </c>
      <c r="H1085" s="2">
        <v>40.0</v>
      </c>
      <c r="I1085" t="inlineStr">
        <is>
          <t xml:space="preserve">хлопок 60%, ПЭ 40 %</t>
        </is>
      </c>
      <c r="J1085"/>
      <c r="K1085" t="inlineStr">
        <is>
          <t xml:space="preserve">Бангладеш</t>
        </is>
      </c>
      <c r="L1085" t="inlineStr">
        <is>
          <t xml:space="preserve">6110209100</t>
        </is>
      </c>
      <c r="M1085" t="inlineStr">
        <is>
          <t xml:space="preserve">Декларация № ЕАЭС № BY/112 11.01. ТР017 122.01 08246, до 19.04.2028</t>
        </is>
      </c>
      <c r="N1085" t="inlineStr">
        <is>
          <t xml:space="preserve">35 × 30 × 4</t>
        </is>
      </c>
      <c r="O1085" t="inlineStr">
        <is>
          <t xml:space="preserve">0,62</t>
        </is>
      </c>
      <c r="P1085" t="inlineStr">
        <is>
          <t xml:space="preserve">4816148174772</t>
        </is>
      </c>
      <c r="Q1085" s="3" t="str">
        <f>HYPERLINK("https://modify.by/img/751068789/1.webp","фото")</f>
        <v>фото</v>
      </c>
      <c r="R1085" s="3" t="str">
        <f>HYPERLINK("https://modify.by/catalog/svitery/751068789/?utm_source=price&amp;utm_medium=xlsx","открыть")</f>
        <v>открыть</v>
      </c>
    </row>
    <row r="1086">
      <c r="A1086" t="inlineStr">
        <is>
          <t xml:space="preserve">Мужской</t>
        </is>
      </c>
      <c r="B1086" t="inlineStr">
        <is>
          <t xml:space="preserve">Свитеры</t>
        </is>
      </c>
      <c r="C1086" t="inlineStr">
        <is>
          <t xml:space="preserve">Свитер с воротником на молнии базовый хлопковый, серый</t>
        </is>
      </c>
      <c r="D1086" t="inlineStr">
        <is>
          <t xml:space="preserve">SW62M01серый</t>
        </is>
      </c>
      <c r="E1086" t="inlineStr">
        <is>
          <t xml:space="preserve">серый, светло-серый</t>
        </is>
      </c>
      <c r="F1086" t="inlineStr">
        <is>
          <t xml:space="preserve">46</t>
        </is>
      </c>
      <c r="G1086">
        <v>40</v>
      </c>
      <c r="H1086" s="2">
        <v>40.0</v>
      </c>
      <c r="I1086" t="inlineStr">
        <is>
          <t xml:space="preserve">хлопок 60%, ПЭ 40 %</t>
        </is>
      </c>
      <c r="J1086"/>
      <c r="K1086" t="inlineStr">
        <is>
          <t xml:space="preserve">Бангладеш</t>
        </is>
      </c>
      <c r="L1086" t="inlineStr">
        <is>
          <t xml:space="preserve">6110209100</t>
        </is>
      </c>
      <c r="M1086" t="inlineStr">
        <is>
          <t xml:space="preserve">Декларация № ЕАЭС № BY/112 11.01. ТР017 122.01 08246, до 19.04.2028</t>
        </is>
      </c>
      <c r="N1086" t="inlineStr">
        <is>
          <t xml:space="preserve">35 × 30 × 4</t>
        </is>
      </c>
      <c r="O1086" t="inlineStr">
        <is>
          <t xml:space="preserve">0,62</t>
        </is>
      </c>
      <c r="P1086" t="inlineStr">
        <is>
          <t xml:space="preserve">4816148174789</t>
        </is>
      </c>
      <c r="Q1086" s="3" t="str">
        <f>HYPERLINK("https://modify.by/img/751068789/1.webp","фото")</f>
        <v>фото</v>
      </c>
      <c r="R1086" s="3" t="str">
        <f>HYPERLINK("https://modify.by/catalog/svitery/751068789/?utm_source=price&amp;utm_medium=xlsx","открыть")</f>
        <v>открыть</v>
      </c>
    </row>
    <row r="1087">
      <c r="A1087" t="inlineStr">
        <is>
          <t xml:space="preserve">Мужской</t>
        </is>
      </c>
      <c r="B1087" t="inlineStr">
        <is>
          <t xml:space="preserve">Свитеры</t>
        </is>
      </c>
      <c r="C1087" t="inlineStr">
        <is>
          <t xml:space="preserve">Свитер с воротником на молнии базовый хлопковый, серый</t>
        </is>
      </c>
      <c r="D1087" t="inlineStr">
        <is>
          <t xml:space="preserve">SW62M01серый</t>
        </is>
      </c>
      <c r="E1087" t="inlineStr">
        <is>
          <t xml:space="preserve">серый, светло-серый</t>
        </is>
      </c>
      <c r="F1087" t="inlineStr">
        <is>
          <t xml:space="preserve">48</t>
        </is>
      </c>
      <c r="G1087">
        <v>5</v>
      </c>
      <c r="H1087" s="2">
        <v>40.0</v>
      </c>
      <c r="I1087" t="inlineStr">
        <is>
          <t xml:space="preserve">хлопок 60%, ПЭ 40 %</t>
        </is>
      </c>
      <c r="J1087"/>
      <c r="K1087" t="inlineStr">
        <is>
          <t xml:space="preserve">Бангладеш</t>
        </is>
      </c>
      <c r="L1087" t="inlineStr">
        <is>
          <t xml:space="preserve">6110209100</t>
        </is>
      </c>
      <c r="M1087" t="inlineStr">
        <is>
          <t xml:space="preserve">Декларация № ЕАЭС № BY/112 11.01. ТР017 122.01 08246, до 19.04.2028</t>
        </is>
      </c>
      <c r="N1087" t="inlineStr">
        <is>
          <t xml:space="preserve">35 × 30 × 4</t>
        </is>
      </c>
      <c r="O1087" t="inlineStr">
        <is>
          <t xml:space="preserve">0,62</t>
        </is>
      </c>
      <c r="P1087" t="inlineStr">
        <is>
          <t xml:space="preserve">4816148174796</t>
        </is>
      </c>
      <c r="Q1087" s="3" t="str">
        <f>HYPERLINK("https://modify.by/img/751068789/1.webp","фото")</f>
        <v>фото</v>
      </c>
      <c r="R1087" s="3" t="str">
        <f>HYPERLINK("https://modify.by/catalog/svitery/751068789/?utm_source=price&amp;utm_medium=xlsx","открыть")</f>
        <v>открыть</v>
      </c>
    </row>
    <row r="1088">
      <c r="A1088" t="inlineStr">
        <is>
          <t xml:space="preserve">Мужской</t>
        </is>
      </c>
      <c r="B1088" t="inlineStr">
        <is>
          <t xml:space="preserve">Свитеры</t>
        </is>
      </c>
      <c r="C1088" t="inlineStr">
        <is>
          <t xml:space="preserve">Свитер с воротником на молнии базовый хлопковый, серый</t>
        </is>
      </c>
      <c r="D1088" t="inlineStr">
        <is>
          <t xml:space="preserve">SW62M01серый</t>
        </is>
      </c>
      <c r="E1088" t="inlineStr">
        <is>
          <t xml:space="preserve">серый, светло-серый</t>
        </is>
      </c>
      <c r="F1088" t="inlineStr">
        <is>
          <t xml:space="preserve">50</t>
        </is>
      </c>
      <c r="G1088">
        <v>8</v>
      </c>
      <c r="H1088" s="2">
        <v>40.0</v>
      </c>
      <c r="I1088" t="inlineStr">
        <is>
          <t xml:space="preserve">хлопок 60%, ПЭ 40 %</t>
        </is>
      </c>
      <c r="J1088"/>
      <c r="K1088" t="inlineStr">
        <is>
          <t xml:space="preserve">Бангладеш</t>
        </is>
      </c>
      <c r="L1088" t="inlineStr">
        <is>
          <t xml:space="preserve">6110209100</t>
        </is>
      </c>
      <c r="M1088" t="inlineStr">
        <is>
          <t xml:space="preserve">Декларация № ЕАЭС № BY/112 11.01. ТР017 122.01 08246, до 19.04.2028</t>
        </is>
      </c>
      <c r="N1088" t="inlineStr">
        <is>
          <t xml:space="preserve">35 × 30 × 4</t>
        </is>
      </c>
      <c r="O1088" t="inlineStr">
        <is>
          <t xml:space="preserve">0,62</t>
        </is>
      </c>
      <c r="P1088" t="inlineStr">
        <is>
          <t xml:space="preserve">4816148174802</t>
        </is>
      </c>
      <c r="Q1088" s="3" t="str">
        <f>HYPERLINK("https://modify.by/img/751068789/1.webp","фото")</f>
        <v>фото</v>
      </c>
      <c r="R1088" s="3" t="str">
        <f>HYPERLINK("https://modify.by/catalog/svitery/751068789/?utm_source=price&amp;utm_medium=xlsx","открыть")</f>
        <v>открыть</v>
      </c>
    </row>
    <row r="1089">
      <c r="A1089" t="inlineStr">
        <is>
          <t xml:space="preserve">Мужской</t>
        </is>
      </c>
      <c r="B1089" t="inlineStr">
        <is>
          <t xml:space="preserve">Свитеры</t>
        </is>
      </c>
      <c r="C1089" t="inlineStr">
        <is>
          <t xml:space="preserve">Свитер с воротником на молнии базовый хлопковый, темно-зеленый</t>
        </is>
      </c>
      <c r="D1089" t="inlineStr">
        <is>
          <t xml:space="preserve">SW62M01темно_зеленый</t>
        </is>
      </c>
      <c r="E1089" t="inlineStr">
        <is>
          <t xml:space="preserve">темно-зеленый</t>
        </is>
      </c>
      <c r="F1089" t="inlineStr">
        <is>
          <t xml:space="preserve">44</t>
        </is>
      </c>
      <c r="G1089">
        <v>2</v>
      </c>
      <c r="H1089" s="2">
        <v>40.0</v>
      </c>
      <c r="I1089" t="inlineStr">
        <is>
          <t xml:space="preserve">хлопок 60%, ПЭ 40 %</t>
        </is>
      </c>
      <c r="J1089"/>
      <c r="K1089" t="inlineStr">
        <is>
          <t xml:space="preserve">Бангладеш</t>
        </is>
      </c>
      <c r="L1089" t="inlineStr">
        <is>
          <t xml:space="preserve">6110209100</t>
        </is>
      </c>
      <c r="M1089" t="inlineStr">
        <is>
          <t xml:space="preserve">Декларация № ЕАЭС № BY/112 11.01. ТР017 122.01 08246, до 19.04.2028</t>
        </is>
      </c>
      <c r="N1089" t="inlineStr">
        <is>
          <t xml:space="preserve">34 × 30 × 3</t>
        </is>
      </c>
      <c r="O1089" t="inlineStr">
        <is>
          <t xml:space="preserve">0,62</t>
        </is>
      </c>
      <c r="P1089" t="inlineStr">
        <is>
          <t xml:space="preserve">4816148174543</t>
        </is>
      </c>
      <c r="Q1089" s="3" t="str">
        <f>HYPERLINK("https://modify.by/img/748962253/1.webp","фото")</f>
        <v>фото</v>
      </c>
      <c r="R1089" s="3" t="str">
        <f>HYPERLINK("https://modify.by/catalog/svitery/748962253/?utm_source=price&amp;utm_medium=xlsx","открыть")</f>
        <v>открыть</v>
      </c>
    </row>
    <row r="1090">
      <c r="A1090" t="inlineStr">
        <is>
          <t xml:space="preserve">Мужской</t>
        </is>
      </c>
      <c r="B1090" t="inlineStr">
        <is>
          <t xml:space="preserve">Свитеры</t>
        </is>
      </c>
      <c r="C1090" t="inlineStr">
        <is>
          <t xml:space="preserve">Свитер с воротником на молнии базовый хлопковый, темно-синий</t>
        </is>
      </c>
      <c r="D1090" t="inlineStr">
        <is>
          <t xml:space="preserve">SW62M01Темно-синий</t>
        </is>
      </c>
      <c r="E1090" t="inlineStr">
        <is>
          <t xml:space="preserve">темно-синий</t>
        </is>
      </c>
      <c r="F1090" t="inlineStr">
        <is>
          <t xml:space="preserve">42</t>
        </is>
      </c>
      <c r="G1090">
        <v>9</v>
      </c>
      <c r="H1090" s="2">
        <v>40.0</v>
      </c>
      <c r="I1090" t="inlineStr">
        <is>
          <t xml:space="preserve">хлопок 60%, ПЭ 40 %</t>
        </is>
      </c>
      <c r="J1090"/>
      <c r="K1090" t="inlineStr">
        <is>
          <t xml:space="preserve">Бангладеш</t>
        </is>
      </c>
      <c r="L1090" t="inlineStr">
        <is>
          <t xml:space="preserve">6110209100</t>
        </is>
      </c>
      <c r="M1090" t="inlineStr">
        <is>
          <t xml:space="preserve">Декларация № ЕАЭС № BY/112 11.01. ТР017 122.01 08246, до 19.04.2028</t>
        </is>
      </c>
      <c r="N1090" t="inlineStr">
        <is>
          <t xml:space="preserve">34 × 30 × 3</t>
        </is>
      </c>
      <c r="O1090" t="inlineStr">
        <is>
          <t xml:space="preserve">0,62</t>
        </is>
      </c>
      <c r="P1090" t="inlineStr">
        <is>
          <t xml:space="preserve">4816148174673</t>
        </is>
      </c>
      <c r="Q1090" s="3" t="str">
        <f>HYPERLINK("https://modify.by/img/757825018/1.webp","фото")</f>
        <v>фото</v>
      </c>
      <c r="R1090" s="3" t="str">
        <f>HYPERLINK("https://modify.by/catalog/svitery/757825018/?utm_source=price&amp;utm_medium=xlsx","открыть")</f>
        <v>открыть</v>
      </c>
    </row>
    <row r="1091">
      <c r="A1091" t="inlineStr">
        <is>
          <t xml:space="preserve">Мужской</t>
        </is>
      </c>
      <c r="B1091" t="inlineStr">
        <is>
          <t xml:space="preserve">Свитеры</t>
        </is>
      </c>
      <c r="C1091" t="inlineStr">
        <is>
          <t xml:space="preserve">Свитер с воротником на молнии базовый хлопковый, темно-синий</t>
        </is>
      </c>
      <c r="D1091" t="inlineStr">
        <is>
          <t xml:space="preserve">SW62M01Темно-синий</t>
        </is>
      </c>
      <c r="E1091" t="inlineStr">
        <is>
          <t xml:space="preserve">темно-синий</t>
        </is>
      </c>
      <c r="F1091" t="inlineStr">
        <is>
          <t xml:space="preserve">44</t>
        </is>
      </c>
      <c r="G1091">
        <v>32</v>
      </c>
      <c r="H1091" s="2">
        <v>40.0</v>
      </c>
      <c r="I1091" t="inlineStr">
        <is>
          <t xml:space="preserve">хлопок 60%, ПЭ 40 %</t>
        </is>
      </c>
      <c r="J1091"/>
      <c r="K1091" t="inlineStr">
        <is>
          <t xml:space="preserve">Бангладеш</t>
        </is>
      </c>
      <c r="L1091" t="inlineStr">
        <is>
          <t xml:space="preserve">6110209100</t>
        </is>
      </c>
      <c r="M1091" t="inlineStr">
        <is>
          <t xml:space="preserve">Декларация № ЕАЭС № BY/112 11.01. ТР017 122.01 08246, до 19.04.2028</t>
        </is>
      </c>
      <c r="N1091" t="inlineStr">
        <is>
          <t xml:space="preserve">34 × 30 × 3</t>
        </is>
      </c>
      <c r="O1091" t="inlineStr">
        <is>
          <t xml:space="preserve">0,62</t>
        </is>
      </c>
      <c r="P1091" t="inlineStr">
        <is>
          <t xml:space="preserve">4816148174680</t>
        </is>
      </c>
      <c r="Q1091" s="3" t="str">
        <f>HYPERLINK("https://modify.by/img/757825018/1.webp","фото")</f>
        <v>фото</v>
      </c>
      <c r="R1091" s="3" t="str">
        <f>HYPERLINK("https://modify.by/catalog/svitery/757825018/?utm_source=price&amp;utm_medium=xlsx","открыть")</f>
        <v>открыть</v>
      </c>
    </row>
    <row r="1092">
      <c r="A1092" t="inlineStr">
        <is>
          <t xml:space="preserve">Мужской</t>
        </is>
      </c>
      <c r="B1092" t="inlineStr">
        <is>
          <t xml:space="preserve">Свитеры</t>
        </is>
      </c>
      <c r="C1092" t="inlineStr">
        <is>
          <t xml:space="preserve">Свитер с воротником на молнии базовый хлопковый, темно-синий</t>
        </is>
      </c>
      <c r="D1092" t="inlineStr">
        <is>
          <t xml:space="preserve">SW62M01Темно-синий</t>
        </is>
      </c>
      <c r="E1092" t="inlineStr">
        <is>
          <t xml:space="preserve">темно-синий</t>
        </is>
      </c>
      <c r="F1092" t="inlineStr">
        <is>
          <t xml:space="preserve">46</t>
        </is>
      </c>
      <c r="G1092">
        <v>38</v>
      </c>
      <c r="H1092" s="2">
        <v>40.0</v>
      </c>
      <c r="I1092" t="inlineStr">
        <is>
          <t xml:space="preserve">хлопок 60%, ПЭ 40 %</t>
        </is>
      </c>
      <c r="J1092"/>
      <c r="K1092" t="inlineStr">
        <is>
          <t xml:space="preserve">Бангладеш</t>
        </is>
      </c>
      <c r="L1092" t="inlineStr">
        <is>
          <t xml:space="preserve">6110209100</t>
        </is>
      </c>
      <c r="M1092" t="inlineStr">
        <is>
          <t xml:space="preserve">Декларация № ЕАЭС № BY/112 11.01. ТР017 122.01 08246, до 19.04.2028</t>
        </is>
      </c>
      <c r="N1092" t="inlineStr">
        <is>
          <t xml:space="preserve">34 × 30 × 3</t>
        </is>
      </c>
      <c r="O1092" t="inlineStr">
        <is>
          <t xml:space="preserve">0,62</t>
        </is>
      </c>
      <c r="P1092" t="inlineStr">
        <is>
          <t xml:space="preserve">4816148174697</t>
        </is>
      </c>
      <c r="Q1092" s="3" t="str">
        <f>HYPERLINK("https://modify.by/img/757825018/1.webp","фото")</f>
        <v>фото</v>
      </c>
      <c r="R1092" s="3" t="str">
        <f>HYPERLINK("https://modify.by/catalog/svitery/757825018/?utm_source=price&amp;utm_medium=xlsx","открыть")</f>
        <v>открыть</v>
      </c>
    </row>
    <row r="1093">
      <c r="A1093" t="inlineStr">
        <is>
          <t xml:space="preserve">Мужской</t>
        </is>
      </c>
      <c r="B1093" t="inlineStr">
        <is>
          <t xml:space="preserve">Свитеры</t>
        </is>
      </c>
      <c r="C1093" t="inlineStr">
        <is>
          <t xml:space="preserve">Свитер с воротником на молнии базовый хлопковый, темно-синий</t>
        </is>
      </c>
      <c r="D1093" t="inlineStr">
        <is>
          <t xml:space="preserve">SW62M01Темно-синий</t>
        </is>
      </c>
      <c r="E1093" t="inlineStr">
        <is>
          <t xml:space="preserve">темно-синий</t>
        </is>
      </c>
      <c r="F1093" t="inlineStr">
        <is>
          <t xml:space="preserve">50</t>
        </is>
      </c>
      <c r="G1093">
        <v>3</v>
      </c>
      <c r="H1093" s="2">
        <v>40.0</v>
      </c>
      <c r="I1093" t="inlineStr">
        <is>
          <t xml:space="preserve">хлопок 60%, ПЭ 40 %</t>
        </is>
      </c>
      <c r="J1093"/>
      <c r="K1093" t="inlineStr">
        <is>
          <t xml:space="preserve">Бангладеш</t>
        </is>
      </c>
      <c r="L1093" t="inlineStr">
        <is>
          <t xml:space="preserve">6110209100</t>
        </is>
      </c>
      <c r="M1093" t="inlineStr">
        <is>
          <t xml:space="preserve">Декларация № ЕАЭС № BY/112 11.01. ТР017 122.01 08246, до 19.04.2028</t>
        </is>
      </c>
      <c r="N1093" t="inlineStr">
        <is>
          <t xml:space="preserve">34 × 30 × 3</t>
        </is>
      </c>
      <c r="O1093" t="inlineStr">
        <is>
          <t xml:space="preserve">0,62</t>
        </is>
      </c>
      <c r="P1093" t="inlineStr">
        <is>
          <t xml:space="preserve">4816148174710</t>
        </is>
      </c>
      <c r="Q1093" s="3" t="str">
        <f>HYPERLINK("https://modify.by/img/757825018/1.webp","фото")</f>
        <v>фото</v>
      </c>
      <c r="R1093" s="3" t="str">
        <f>HYPERLINK("https://modify.by/catalog/svitery/757825018/?utm_source=price&amp;utm_medium=xlsx","открыть")</f>
        <v>открыть</v>
      </c>
    </row>
    <row r="1094">
      <c r="A1094" t="inlineStr">
        <is>
          <t xml:space="preserve">Мужской</t>
        </is>
      </c>
      <c r="B1094" t="inlineStr">
        <is>
          <t xml:space="preserve">Свитеры</t>
        </is>
      </c>
      <c r="C1094" t="inlineStr">
        <is>
          <t xml:space="preserve">Свитер с воротником на молнии базовый хлопковый, черный</t>
        </is>
      </c>
      <c r="D1094" t="inlineStr">
        <is>
          <t xml:space="preserve">SW62M01черный</t>
        </is>
      </c>
      <c r="E1094" t="inlineStr">
        <is>
          <t xml:space="preserve">черный</t>
        </is>
      </c>
      <c r="F1094" t="inlineStr">
        <is>
          <t xml:space="preserve">44</t>
        </is>
      </c>
      <c r="G1094">
        <v>5</v>
      </c>
      <c r="H1094" s="2">
        <v>40.0</v>
      </c>
      <c r="I1094" t="inlineStr">
        <is>
          <t xml:space="preserve">хлопок 60%, ПЭ 40 %</t>
        </is>
      </c>
      <c r="J1094"/>
      <c r="K1094" t="inlineStr">
        <is>
          <t xml:space="preserve">Бангладеш</t>
        </is>
      </c>
      <c r="L1094" t="inlineStr">
        <is>
          <t xml:space="preserve">6110209100</t>
        </is>
      </c>
      <c r="M1094" t="inlineStr">
        <is>
          <t xml:space="preserve">Декларация № ЕАЭС № BY/112 11.01. ТР017 122.01 08246, до 19.04.2028</t>
        </is>
      </c>
      <c r="N1094" t="inlineStr">
        <is>
          <t xml:space="preserve">34 × 30 × 3</t>
        </is>
      </c>
      <c r="O1094" t="inlineStr">
        <is>
          <t xml:space="preserve">0,62</t>
        </is>
      </c>
      <c r="P1094" t="inlineStr">
        <is>
          <t xml:space="preserve">4816148174338</t>
        </is>
      </c>
      <c r="Q1094" s="3" t="str">
        <f>HYPERLINK("https://modify.by/img/742337534/1.webp","фото")</f>
        <v>фото</v>
      </c>
      <c r="R1094" s="3" t="str">
        <f>HYPERLINK("https://modify.by/catalog/svitery/742337534/?utm_source=price&amp;utm_medium=xlsx","открыть")</f>
        <v>открыть</v>
      </c>
    </row>
    <row r="1095">
      <c r="A1095" t="inlineStr">
        <is>
          <t xml:space="preserve">Мужской</t>
        </is>
      </c>
      <c r="B1095" t="inlineStr">
        <is>
          <t xml:space="preserve">Свитеры</t>
        </is>
      </c>
      <c r="C1095" t="inlineStr">
        <is>
          <t xml:space="preserve">Свитер с воротником на пуговицах теплый</t>
        </is>
      </c>
      <c r="D1095" t="inlineStr">
        <is>
          <t xml:space="preserve">SW42M13темно-синий</t>
        </is>
      </c>
      <c r="E1095" t="inlineStr">
        <is>
          <t xml:space="preserve">песочный, бежевый, синий, светло-коричневый, темно-синий</t>
        </is>
      </c>
      <c r="F1095" t="inlineStr">
        <is>
          <t xml:space="preserve">54</t>
        </is>
      </c>
      <c r="G1095">
        <v>1</v>
      </c>
      <c r="H1095" s="2">
        <v>33.0</v>
      </c>
      <c r="I1095" t="inlineStr">
        <is>
          <t xml:space="preserve">100% акрил</t>
        </is>
      </c>
      <c r="J1095"/>
      <c r="K1095" t="inlineStr">
        <is>
          <t xml:space="preserve">Бангладеш</t>
        </is>
      </c>
      <c r="L1095" t="inlineStr">
        <is>
          <t xml:space="preserve">6110309100</t>
        </is>
      </c>
      <c r="M1095" t="inlineStr">
        <is>
          <t xml:space="preserve">Декларация № ЕАЭС № BY/112 11.01. ТР017 122.01 08246, до 19.04.2028</t>
        </is>
      </c>
      <c r="N1095" t="inlineStr">
        <is>
          <t xml:space="preserve">35 × 30 × 3</t>
        </is>
      </c>
      <c r="O1095" t="inlineStr">
        <is>
          <t xml:space="preserve">0,28</t>
        </is>
      </c>
      <c r="P1095" t="inlineStr">
        <is>
          <t xml:space="preserve">4816148129871</t>
        </is>
      </c>
      <c r="Q1095" s="3" t="str">
        <f>HYPERLINK("https://modify.by/img/254972317/1.webp","фото")</f>
        <v>фото</v>
      </c>
      <c r="R1095" s="3" t="str">
        <f>HYPERLINK("https://modify.by/catalog/svitery/254972317/?utm_source=price&amp;utm_medium=xlsx","открыть")</f>
        <v>открыть</v>
      </c>
    </row>
    <row r="1096">
      <c r="A1096" t="inlineStr">
        <is>
          <t xml:space="preserve">Мужской</t>
        </is>
      </c>
      <c r="B1096" t="inlineStr">
        <is>
          <t xml:space="preserve">Свитеры</t>
        </is>
      </c>
      <c r="C1096" t="inlineStr">
        <is>
          <t xml:space="preserve">Свитер с воротом хлопок</t>
        </is>
      </c>
      <c r="D1096" t="inlineStr">
        <is>
          <t xml:space="preserve">SW22M17Синий</t>
        </is>
      </c>
      <c r="E1096" t="inlineStr">
        <is>
          <t xml:space="preserve">синий</t>
        </is>
      </c>
      <c r="F1096" t="inlineStr">
        <is>
          <t xml:space="preserve">54</t>
        </is>
      </c>
      <c r="G1096">
        <v>2</v>
      </c>
      <c r="H1096" s="2">
        <v>33.0</v>
      </c>
      <c r="I1096" t="inlineStr">
        <is>
          <t xml:space="preserve">хлопок 100%</t>
        </is>
      </c>
      <c r="J1096"/>
      <c r="K1096" t="inlineStr">
        <is>
          <t xml:space="preserve">Бангладеш</t>
        </is>
      </c>
      <c r="L1096" t="inlineStr">
        <is>
          <t xml:space="preserve">6110209100</t>
        </is>
      </c>
      <c r="M1096" t="inlineStr">
        <is>
          <t xml:space="preserve">по запросу</t>
        </is>
      </c>
      <c r="N1096" t="inlineStr">
        <is>
          <t xml:space="preserve">35 × 30 × 5</t>
        </is>
      </c>
      <c r="O1096" t="inlineStr">
        <is>
          <t xml:space="preserve">0,65</t>
        </is>
      </c>
      <c r="P1096" t="inlineStr">
        <is>
          <t xml:space="preserve">2016957056005</t>
        </is>
      </c>
      <c r="Q1096" s="3" t="str">
        <f>HYPERLINK("https://modify.by/img/125148248/1.webp","фото")</f>
        <v>фото</v>
      </c>
      <c r="R1096" s="3" t="str">
        <f>HYPERLINK("https://modify.by/catalog/svitery/125148248/?utm_source=price&amp;utm_medium=xlsx","открыть")</f>
        <v>открыть</v>
      </c>
    </row>
    <row r="1097">
      <c r="A1097" t="inlineStr">
        <is>
          <t xml:space="preserve">Мужской</t>
        </is>
      </c>
      <c r="B1097" t="inlineStr">
        <is>
          <t xml:space="preserve">Свитеры</t>
        </is>
      </c>
      <c r="C1097" t="inlineStr">
        <is>
          <t xml:space="preserve">Свитер с горлом на молнии, синий</t>
        </is>
      </c>
      <c r="D1097" t="inlineStr">
        <is>
          <t xml:space="preserve">SW32M33Синий</t>
        </is>
      </c>
      <c r="E1097" t="inlineStr">
        <is>
          <t xml:space="preserve">синий</t>
        </is>
      </c>
      <c r="F1097" t="inlineStr">
        <is>
          <t xml:space="preserve">44</t>
        </is>
      </c>
      <c r="G1097">
        <v>2</v>
      </c>
      <c r="H1097" s="2">
        <v>34.0</v>
      </c>
      <c r="I1097" t="inlineStr">
        <is>
          <t xml:space="preserve">хлопок 100%</t>
        </is>
      </c>
      <c r="J1097"/>
      <c r="K1097" t="inlineStr">
        <is>
          <t xml:space="preserve">Бангладеш</t>
        </is>
      </c>
      <c r="L1097" t="inlineStr">
        <is>
          <t xml:space="preserve">6110209100</t>
        </is>
      </c>
      <c r="M1097" t="inlineStr">
        <is>
          <t xml:space="preserve">Декларация № ЕАЭС № BY/112 11.01. ТР017 122.01 08246, до 19.04.2028</t>
        </is>
      </c>
      <c r="N1097" t="inlineStr">
        <is>
          <t xml:space="preserve">35 × 28 × 3</t>
        </is>
      </c>
      <c r="O1097" t="inlineStr">
        <is>
          <t xml:space="preserve">0,48</t>
        </is>
      </c>
      <c r="P1097" t="inlineStr">
        <is>
          <t xml:space="preserve">2038096160375</t>
        </is>
      </c>
      <c r="Q1097" s="3" t="str">
        <f>HYPERLINK("https://modify.by/img/171171551/1.webp","фото")</f>
        <v>фото</v>
      </c>
      <c r="R1097" s="3" t="str">
        <f>HYPERLINK("https://modify.by/catalog/svitery/171171551/?utm_source=price&amp;utm_medium=xlsx","открыть")</f>
        <v>открыть</v>
      </c>
    </row>
    <row r="1098">
      <c r="A1098" t="inlineStr">
        <is>
          <t xml:space="preserve">Мужской</t>
        </is>
      </c>
      <c r="B1098" t="inlineStr">
        <is>
          <t xml:space="preserve">Свитеры</t>
        </is>
      </c>
      <c r="C1098" t="inlineStr">
        <is>
          <t xml:space="preserve">Свитер с горлом на молнии, синий</t>
        </is>
      </c>
      <c r="D1098" t="inlineStr">
        <is>
          <t xml:space="preserve">SW32M33Синий</t>
        </is>
      </c>
      <c r="E1098" t="inlineStr">
        <is>
          <t xml:space="preserve">синий</t>
        </is>
      </c>
      <c r="F1098" t="inlineStr">
        <is>
          <t xml:space="preserve">44</t>
        </is>
      </c>
      <c r="G1098">
        <v>2</v>
      </c>
      <c r="H1098" s="2">
        <v>34.0</v>
      </c>
      <c r="I1098" t="inlineStr">
        <is>
          <t xml:space="preserve">хлопок 100%</t>
        </is>
      </c>
      <c r="J1098"/>
      <c r="K1098" t="inlineStr">
        <is>
          <t xml:space="preserve">Бангладеш</t>
        </is>
      </c>
      <c r="L1098" t="inlineStr">
        <is>
          <t xml:space="preserve">6110209100</t>
        </is>
      </c>
      <c r="M1098" t="inlineStr">
        <is>
          <t xml:space="preserve">Декларация № ЕАЭС № BY/112 11.01. ТР017 122.01 08246, до 19.04.2028</t>
        </is>
      </c>
      <c r="N1098" t="inlineStr">
        <is>
          <t xml:space="preserve">35 × 28 × 3</t>
        </is>
      </c>
      <c r="O1098" t="inlineStr">
        <is>
          <t xml:space="preserve">0,48</t>
        </is>
      </c>
      <c r="P1098" t="inlineStr">
        <is>
          <t xml:space="preserve">4816148141248</t>
        </is>
      </c>
      <c r="Q1098" s="3" t="str">
        <f>HYPERLINK("https://modify.by/img/171171551/1.webp","фото")</f>
        <v>фото</v>
      </c>
      <c r="R1098" s="3" t="str">
        <f>HYPERLINK("https://modify.by/catalog/svitery/171171551/?utm_source=price&amp;utm_medium=xlsx","открыть")</f>
        <v>открыть</v>
      </c>
    </row>
    <row r="1099">
      <c r="A1099" t="inlineStr">
        <is>
          <t xml:space="preserve">Мужской</t>
        </is>
      </c>
      <c r="B1099" t="inlineStr">
        <is>
          <t xml:space="preserve">Свитеры</t>
        </is>
      </c>
      <c r="C1099" t="inlineStr">
        <is>
          <t xml:space="preserve">Свитер с горлом на молнии, черный</t>
        </is>
      </c>
      <c r="D1099" t="inlineStr">
        <is>
          <t xml:space="preserve">SW42M02черный1</t>
        </is>
      </c>
      <c r="E1099" t="inlineStr">
        <is>
          <t xml:space="preserve">черный</t>
        </is>
      </c>
      <c r="F1099" t="inlineStr">
        <is>
          <t xml:space="preserve">52</t>
        </is>
      </c>
      <c r="G1099">
        <v>1</v>
      </c>
      <c r="H1099" s="2">
        <v>33.0</v>
      </c>
      <c r="I1099" t="inlineStr">
        <is>
          <t xml:space="preserve">хлопок, полиэстер</t>
        </is>
      </c>
      <c r="J1099"/>
      <c r="K1099" t="inlineStr">
        <is>
          <t xml:space="preserve">Бангладеш</t>
        </is>
      </c>
      <c r="L1099" t="inlineStr">
        <is>
          <t xml:space="preserve">6110209100</t>
        </is>
      </c>
      <c r="M1099" t="inlineStr">
        <is>
          <t xml:space="preserve">Декларация № ЕАЭС № BY/112 11.01. ТР017 122.01 08246, до 19.04.2028</t>
        </is>
      </c>
      <c r="N1099" t="inlineStr">
        <is>
          <t xml:space="preserve">35 × 30 × 4</t>
        </is>
      </c>
      <c r="O1099" t="inlineStr">
        <is>
          <t xml:space="preserve">0,38</t>
        </is>
      </c>
      <c r="P1099" t="inlineStr">
        <is>
          <t xml:space="preserve">4816148128003</t>
        </is>
      </c>
      <c r="Q1099" s="3" t="str">
        <f>HYPERLINK("https://modify.by/img/254986676/1.webp","фото")</f>
        <v>фото</v>
      </c>
      <c r="R1099" s="3" t="str">
        <f>HYPERLINK("https://modify.by/catalog/svitery/254986676/?utm_source=price&amp;utm_medium=xlsx","открыть")</f>
        <v>открыть</v>
      </c>
    </row>
    <row r="1100">
      <c r="A1100" t="inlineStr">
        <is>
          <t xml:space="preserve">Мужской</t>
        </is>
      </c>
      <c r="B1100" t="inlineStr">
        <is>
          <t xml:space="preserve">Свитеры</t>
        </is>
      </c>
      <c r="C1100" t="inlineStr">
        <is>
          <t xml:space="preserve">Свитер хлопковый</t>
        </is>
      </c>
      <c r="D1100" t="inlineStr">
        <is>
          <t xml:space="preserve">SW12M04Серый</t>
        </is>
      </c>
      <c r="E1100" t="inlineStr">
        <is>
          <t xml:space="preserve">серый</t>
        </is>
      </c>
      <c r="F1100" t="inlineStr">
        <is>
          <t xml:space="preserve">56</t>
        </is>
      </c>
      <c r="G1100">
        <v>3</v>
      </c>
      <c r="H1100" s="2">
        <v>28.0</v>
      </c>
      <c r="I1100" t="inlineStr">
        <is>
          <t xml:space="preserve">хлопок 100%</t>
        </is>
      </c>
      <c r="J1100"/>
      <c r="K1100" t="inlineStr">
        <is>
          <t xml:space="preserve">Бангладеш</t>
        </is>
      </c>
      <c r="L1100" t="inlineStr">
        <is>
          <t xml:space="preserve">6110209900</t>
        </is>
      </c>
      <c r="M1100" t="inlineStr">
        <is>
          <t xml:space="preserve">по запросу</t>
        </is>
      </c>
      <c r="N1100"/>
      <c r="O1100"/>
      <c r="P1100" t="inlineStr">
        <is>
          <t xml:space="preserve">2004570295321</t>
        </is>
      </c>
      <c r="Q1100" s="3" t="str">
        <f>HYPERLINK("https://modify.by/img/51816565/1.webp","фото")</f>
        <v>фото</v>
      </c>
      <c r="R1100" s="3" t="str">
        <f>HYPERLINK("https://modify.by/catalog/svitery/51816565/?utm_source=price&amp;utm_medium=xlsx","открыть")</f>
        <v>открыть</v>
      </c>
    </row>
    <row r="1101">
      <c r="A1101" t="inlineStr">
        <is>
          <t xml:space="preserve">Мужской</t>
        </is>
      </c>
      <c r="B1101" t="inlineStr">
        <is>
          <t xml:space="preserve">Свитеры</t>
        </is>
      </c>
      <c r="C1101" t="inlineStr">
        <is>
          <t xml:space="preserve">Свитер, серый</t>
        </is>
      </c>
      <c r="D1101" t="inlineStr">
        <is>
          <t xml:space="preserve">SW12M04*Серый</t>
        </is>
      </c>
      <c r="E1101" t="inlineStr">
        <is>
          <t xml:space="preserve">серый</t>
        </is>
      </c>
      <c r="F1101" t="inlineStr">
        <is>
          <t xml:space="preserve">56</t>
        </is>
      </c>
      <c r="G1101">
        <v>3</v>
      </c>
      <c r="H1101" s="2">
        <v>28.0</v>
      </c>
      <c r="I1101" t="inlineStr">
        <is>
          <t xml:space="preserve">хлопок 100%</t>
        </is>
      </c>
      <c r="J1101"/>
      <c r="K1101" t="inlineStr">
        <is>
          <t xml:space="preserve">Бангладеш</t>
        </is>
      </c>
      <c r="L1101" t="inlineStr">
        <is>
          <t xml:space="preserve">6110209900</t>
        </is>
      </c>
      <c r="M1101" t="inlineStr">
        <is>
          <t xml:space="preserve">Декларация № ЕАЭС № BY/112 11.01. ТР017 122.01 08246, до 19.04.2028</t>
        </is>
      </c>
      <c r="N1101" t="inlineStr">
        <is>
          <t xml:space="preserve">35 × 30 × 4</t>
        </is>
      </c>
      <c r="O1101" t="inlineStr">
        <is>
          <t xml:space="preserve">0,4</t>
        </is>
      </c>
      <c r="P1101" t="inlineStr">
        <is>
          <t xml:space="preserve">4816148178817</t>
        </is>
      </c>
      <c r="Q1101" s="3" t="str">
        <f>HYPERLINK("https://modify.by/img/58480046/1.webp","фото")</f>
        <v>фото</v>
      </c>
      <c r="R1101" s="3" t="str">
        <f>HYPERLINK("https://modify.by/catalog/svitery/58480046/?utm_source=price&amp;utm_medium=xlsx","открыть")</f>
        <v>открыть</v>
      </c>
    </row>
    <row r="1102">
      <c r="A1102" t="inlineStr">
        <is>
          <t xml:space="preserve">Мужской</t>
        </is>
      </c>
      <c r="B1102" t="inlineStr">
        <is>
          <t xml:space="preserve">Свитеры</t>
        </is>
      </c>
      <c r="C1102" t="inlineStr">
        <is>
          <t xml:space="preserve">Свитер, темно-синий</t>
        </is>
      </c>
      <c r="D1102" t="inlineStr">
        <is>
          <t xml:space="preserve">SW22M31Темно-синий</t>
        </is>
      </c>
      <c r="E1102" t="inlineStr">
        <is>
          <t xml:space="preserve">темно-синий</t>
        </is>
      </c>
      <c r="F1102" t="inlineStr">
        <is>
          <t xml:space="preserve">48/176</t>
        </is>
      </c>
      <c r="G1102">
        <v>1</v>
      </c>
      <c r="H1102" s="2">
        <v>23.0</v>
      </c>
      <c r="I1102" t="inlineStr">
        <is>
          <t xml:space="preserve">хлопок 88%, полиамид 12%</t>
        </is>
      </c>
      <c r="J1102"/>
      <c r="K1102" t="inlineStr">
        <is>
          <t xml:space="preserve">Бангладеш</t>
        </is>
      </c>
      <c r="L1102" t="inlineStr">
        <is>
          <t xml:space="preserve">6110309100</t>
        </is>
      </c>
      <c r="M1102" t="inlineStr">
        <is>
          <t xml:space="preserve">по запросу</t>
        </is>
      </c>
      <c r="N1102" t="inlineStr">
        <is>
          <t xml:space="preserve">35 × 30 × 4</t>
        </is>
      </c>
      <c r="O1102" t="inlineStr">
        <is>
          <t xml:space="preserve">0,29</t>
        </is>
      </c>
      <c r="P1102" t="inlineStr">
        <is>
          <t xml:space="preserve">2016957039367</t>
        </is>
      </c>
      <c r="Q1102" s="3" t="str">
        <f>HYPERLINK("https://modify.by/img/141438364/1.webp","фото")</f>
        <v>фото</v>
      </c>
      <c r="R1102" s="3" t="str">
        <f>HYPERLINK("https://modify.by/catalog/svitery/141438364/?utm_source=price&amp;utm_medium=xlsx","открыть")</f>
        <v>открыть</v>
      </c>
    </row>
    <row r="1103">
      <c r="A1103" t="inlineStr">
        <is>
          <t xml:space="preserve">Мужской</t>
        </is>
      </c>
      <c r="B1103" t="inlineStr">
        <is>
          <t xml:space="preserve">Свитеры</t>
        </is>
      </c>
      <c r="C1103" t="inlineStr">
        <is>
          <t xml:space="preserve">свитер вафельной вязки</t>
        </is>
      </c>
      <c r="D1103" t="inlineStr">
        <is>
          <t xml:space="preserve">SW32M28Бордовый</t>
        </is>
      </c>
      <c r="E1103" t="inlineStr">
        <is>
          <t xml:space="preserve">бордовый</t>
        </is>
      </c>
      <c r="F1103" t="inlineStr">
        <is>
          <t xml:space="preserve">54/182</t>
        </is>
      </c>
      <c r="G1103">
        <v>2</v>
      </c>
      <c r="H1103" s="2">
        <v>43.0</v>
      </c>
      <c r="I1103" t="inlineStr">
        <is>
          <t xml:space="preserve">хлопок 100%</t>
        </is>
      </c>
      <c r="J1103"/>
      <c r="K1103" t="inlineStr">
        <is>
          <t xml:space="preserve">Бангладеш</t>
        </is>
      </c>
      <c r="L1103" t="inlineStr">
        <is>
          <t xml:space="preserve">6110209100</t>
        </is>
      </c>
      <c r="M1103" t="inlineStr">
        <is>
          <t xml:space="preserve">Декларация № ЕАЭС № BY/112 11.01. ТР017 122.01 08246, до 19.04.2028</t>
        </is>
      </c>
      <c r="N1103" t="inlineStr">
        <is>
          <t xml:space="preserve">35 × 28 × 3</t>
        </is>
      </c>
      <c r="O1103" t="inlineStr">
        <is>
          <t xml:space="preserve">0,36</t>
        </is>
      </c>
      <c r="P1103" t="inlineStr">
        <is>
          <t xml:space="preserve">2038096167541</t>
        </is>
      </c>
      <c r="Q1103" s="3" t="str">
        <f>HYPERLINK("https://modify.by/img/179216478/1.webp","фото")</f>
        <v>фото</v>
      </c>
      <c r="R1103" s="3" t="str">
        <f>HYPERLINK("https://modify.by/catalog/svitery/179216478/?utm_source=price&amp;utm_medium=xlsx","открыть")</f>
        <v>открыть</v>
      </c>
    </row>
    <row r="1104">
      <c r="A1104" t="inlineStr">
        <is>
          <t xml:space="preserve">Мужской</t>
        </is>
      </c>
      <c r="B1104" t="inlineStr">
        <is>
          <t xml:space="preserve">Свитеры</t>
        </is>
      </c>
      <c r="C1104" t="inlineStr">
        <is>
          <t xml:space="preserve">свитер вафельной вязки</t>
        </is>
      </c>
      <c r="D1104" t="inlineStr">
        <is>
          <t xml:space="preserve">SW32M28Бордовый</t>
        </is>
      </c>
      <c r="E1104" t="inlineStr">
        <is>
          <t xml:space="preserve">бордовый</t>
        </is>
      </c>
      <c r="F1104" t="inlineStr">
        <is>
          <t xml:space="preserve">54/182</t>
        </is>
      </c>
      <c r="G1104">
        <v>2</v>
      </c>
      <c r="H1104" s="2">
        <v>43.0</v>
      </c>
      <c r="I1104" t="inlineStr">
        <is>
          <t xml:space="preserve">хлопок 100%</t>
        </is>
      </c>
      <c r="J1104"/>
      <c r="K1104" t="inlineStr">
        <is>
          <t xml:space="preserve">Бангладеш</t>
        </is>
      </c>
      <c r="L1104" t="inlineStr">
        <is>
          <t xml:space="preserve">6110209100</t>
        </is>
      </c>
      <c r="M1104" t="inlineStr">
        <is>
          <t xml:space="preserve">Декларация № ЕАЭС № BY/112 11.01. ТР017 122.01 08246, до 19.04.2028</t>
        </is>
      </c>
      <c r="N1104" t="inlineStr">
        <is>
          <t xml:space="preserve">35 × 28 × 3</t>
        </is>
      </c>
      <c r="O1104" t="inlineStr">
        <is>
          <t xml:space="preserve">0,36</t>
        </is>
      </c>
      <c r="P1104" t="inlineStr">
        <is>
          <t xml:space="preserve">4816148123459</t>
        </is>
      </c>
      <c r="Q1104" s="3" t="str">
        <f>HYPERLINK("https://modify.by/img/179216478/1.webp","фото")</f>
        <v>фото</v>
      </c>
      <c r="R1104" s="3" t="str">
        <f>HYPERLINK("https://modify.by/catalog/svitery/179216478/?utm_source=price&amp;utm_medium=xlsx","открыть")</f>
        <v>открыть</v>
      </c>
    </row>
    <row r="1105">
      <c r="A1105" t="inlineStr">
        <is>
          <t xml:space="preserve">Мужской</t>
        </is>
      </c>
      <c r="B1105" t="inlineStr">
        <is>
          <t xml:space="preserve">Свитеры</t>
        </is>
      </c>
      <c r="C1105" t="inlineStr">
        <is>
          <t xml:space="preserve">свитер с горлом на молнии зимний, темно-синий</t>
        </is>
      </c>
      <c r="D1105" t="inlineStr">
        <is>
          <t xml:space="preserve">SW32M37Темно-синий</t>
        </is>
      </c>
      <c r="E1105" t="inlineStr">
        <is>
          <t xml:space="preserve">темно-синий</t>
        </is>
      </c>
      <c r="F1105" t="inlineStr">
        <is>
          <t xml:space="preserve">xxl</t>
        </is>
      </c>
      <c r="G1105">
        <v>1</v>
      </c>
      <c r="H1105" s="2">
        <v>42.0</v>
      </c>
      <c r="I1105" t="inlineStr">
        <is>
          <t xml:space="preserve">хлопок 100%</t>
        </is>
      </c>
      <c r="J1105"/>
      <c r="K1105" t="inlineStr">
        <is>
          <t xml:space="preserve">Бангладеш</t>
        </is>
      </c>
      <c r="L1105" t="inlineStr">
        <is>
          <t xml:space="preserve">6110209100</t>
        </is>
      </c>
      <c r="M1105" t="inlineStr">
        <is>
          <t xml:space="preserve">Декларация № ЕАЭС № BY/112 11.01. ТР017 122.01 08246, до 19.04.2028</t>
        </is>
      </c>
      <c r="N1105" t="inlineStr">
        <is>
          <t xml:space="preserve">35 × 28 × 3</t>
        </is>
      </c>
      <c r="O1105" t="inlineStr">
        <is>
          <t xml:space="preserve">0,41</t>
        </is>
      </c>
      <c r="P1105" t="inlineStr">
        <is>
          <t xml:space="preserve">2038096160153</t>
        </is>
      </c>
      <c r="Q1105" s="3" t="str">
        <f>HYPERLINK("https://modify.by/img/171170712/1.webp","фото")</f>
        <v>фото</v>
      </c>
      <c r="R1105" s="3" t="str">
        <f>HYPERLINK("https://modify.by/catalog/svitery/171170712/?utm_source=price&amp;utm_medium=xlsx","открыть")</f>
        <v>открыть</v>
      </c>
    </row>
    <row r="1106">
      <c r="A1106" t="inlineStr">
        <is>
          <t xml:space="preserve">Мужской</t>
        </is>
      </c>
      <c r="B1106" t="inlineStr">
        <is>
          <t xml:space="preserve">Свитеры</t>
        </is>
      </c>
      <c r="C1106" t="inlineStr">
        <is>
          <t xml:space="preserve">свитер с горлом на молнии зимний, черный</t>
        </is>
      </c>
      <c r="D1106" t="inlineStr">
        <is>
          <t xml:space="preserve">SW32M37Черный</t>
        </is>
      </c>
      <c r="E1106" t="inlineStr">
        <is>
          <t xml:space="preserve">черный</t>
        </is>
      </c>
      <c r="F1106" t="inlineStr">
        <is>
          <t xml:space="preserve">xl</t>
        </is>
      </c>
      <c r="G1106">
        <v>8</v>
      </c>
      <c r="H1106" s="2">
        <v>42.0</v>
      </c>
      <c r="I1106" t="inlineStr">
        <is>
          <t xml:space="preserve">хлопок 100%</t>
        </is>
      </c>
      <c r="J1106"/>
      <c r="K1106" t="inlineStr">
        <is>
          <t xml:space="preserve">Бангладеш</t>
        </is>
      </c>
      <c r="L1106" t="inlineStr">
        <is>
          <t xml:space="preserve">6110209100</t>
        </is>
      </c>
      <c r="M1106" t="inlineStr">
        <is>
          <t xml:space="preserve">Декларация № ЕАЭС № BY/112 11.01. ТР017 122.01 08246, до 19.04.2028</t>
        </is>
      </c>
      <c r="N1106" t="inlineStr">
        <is>
          <t xml:space="preserve">27 × 27 × 4</t>
        </is>
      </c>
      <c r="O1106" t="inlineStr">
        <is>
          <t xml:space="preserve">0,41</t>
        </is>
      </c>
      <c r="P1106" t="inlineStr">
        <is>
          <t xml:space="preserve">2038096160092</t>
        </is>
      </c>
      <c r="Q1106" s="3" t="str">
        <f>HYPERLINK("https://modify.by/img/171170717/1.webp","фото")</f>
        <v>фото</v>
      </c>
      <c r="R1106" s="3" t="str">
        <f>HYPERLINK("https://modify.by/catalog/svitery/171170717/?utm_source=price&amp;utm_medium=xlsx","открыть")</f>
        <v>открыть</v>
      </c>
    </row>
    <row r="1107">
      <c r="A1107" t="inlineStr">
        <is>
          <t xml:space="preserve">Мужской</t>
        </is>
      </c>
      <c r="B1107" t="inlineStr">
        <is>
          <t xml:space="preserve">Тапочки</t>
        </is>
      </c>
      <c r="C1107" t="inlineStr">
        <is>
          <t xml:space="preserve">Тапочки для улицы и дома с эффектом памяти</t>
        </is>
      </c>
      <c r="D1107" t="inlineStr">
        <is>
          <t xml:space="preserve">T3SL52M10черный</t>
        </is>
      </c>
      <c r="E1107" t="inlineStr">
        <is>
          <t xml:space="preserve">черный, коричневый</t>
        </is>
      </c>
      <c r="F1107" t="inlineStr">
        <is>
          <t xml:space="preserve">40-41</t>
        </is>
      </c>
      <c r="G1107">
        <v>2</v>
      </c>
      <c r="H1107" s="2">
        <v>20.0</v>
      </c>
      <c r="I1107" t="inlineStr">
        <is>
          <t xml:space="preserve">экокожа, мех, EVA</t>
        </is>
      </c>
      <c r="J1107" t="inlineStr">
        <is>
          <t xml:space="preserve">демисезон</t>
        </is>
      </c>
      <c r="K1107" t="inlineStr">
        <is>
          <t xml:space="preserve">Китай</t>
        </is>
      </c>
      <c r="L1107" t="inlineStr">
        <is>
          <t xml:space="preserve">6404191000</t>
        </is>
      </c>
      <c r="M1107" t="inlineStr">
        <is>
          <t xml:space="preserve">Декларация № ЕАЭС № BY/112 11.01. ТР017 122.01 20962, до 19.05.2030</t>
        </is>
      </c>
      <c r="N1107" t="inlineStr">
        <is>
          <t xml:space="preserve">30 × 25 × 10</t>
        </is>
      </c>
      <c r="O1107" t="inlineStr">
        <is>
          <t xml:space="preserve">0,36</t>
        </is>
      </c>
      <c r="P1107" t="inlineStr">
        <is>
          <t xml:space="preserve">4816148169198</t>
        </is>
      </c>
      <c r="Q1107" s="3" t="str">
        <f>HYPERLINK("https://modify.by/img/591296949/1.webp","фото")</f>
        <v>фото</v>
      </c>
      <c r="R1107" s="3" t="str">
        <f>HYPERLINK("https://modify.by/catalog/tapochki/591296949/?utm_source=price&amp;utm_medium=xlsx","открыть")</f>
        <v>открыть</v>
      </c>
    </row>
    <row r="1108">
      <c r="A1108" t="inlineStr">
        <is>
          <t xml:space="preserve">Мужской</t>
        </is>
      </c>
      <c r="B1108" t="inlineStr">
        <is>
          <t xml:space="preserve">Тапочки</t>
        </is>
      </c>
      <c r="C1108" t="inlineStr">
        <is>
          <t xml:space="preserve">Тапочки домашние подошва с эффектом памяти, коричневый меланж</t>
        </is>
      </c>
      <c r="D1108" t="inlineStr">
        <is>
          <t xml:space="preserve">T3SL52M07_коричневый</t>
        </is>
      </c>
      <c r="E1108" t="inlineStr">
        <is>
          <t xml:space="preserve">коричневый меланж</t>
        </is>
      </c>
      <c r="F1108" t="inlineStr">
        <is>
          <t xml:space="preserve">39-40</t>
        </is>
      </c>
      <c r="G1108">
        <v>40</v>
      </c>
      <c r="H1108" s="2">
        <v>27.0</v>
      </c>
      <c r="I1108" t="inlineStr">
        <is>
          <t xml:space="preserve">полиэфирное волокно, войлок, мех искусственный</t>
        </is>
      </c>
      <c r="J1108" t="inlineStr">
        <is>
          <t xml:space="preserve">круглогодичный</t>
        </is>
      </c>
      <c r="K1108" t="inlineStr">
        <is>
          <t xml:space="preserve">Китай</t>
        </is>
      </c>
      <c r="L1108" t="inlineStr">
        <is>
          <t xml:space="preserve">6404191000</t>
        </is>
      </c>
      <c r="M1108" t="inlineStr">
        <is>
          <t xml:space="preserve">Декларация № ЕАЭС № BY/112 11.01. ТР017 122.01 20962, до 19.05.2030</t>
        </is>
      </c>
      <c r="N1108" t="inlineStr">
        <is>
          <t xml:space="preserve">35 × 26 × 9</t>
        </is>
      </c>
      <c r="O1108" t="inlineStr">
        <is>
          <t xml:space="preserve">0,32</t>
        </is>
      </c>
      <c r="P1108" t="inlineStr">
        <is>
          <t xml:space="preserve">4816148162113</t>
        </is>
      </c>
      <c r="Q1108" s="3" t="str">
        <f>HYPERLINK("https://modify.by/img/1329832196/1.webp","фото")</f>
        <v>фото</v>
      </c>
      <c r="R1108" s="3" t="str">
        <f>HYPERLINK("https://modify.by/catalog/tapochki/1329832196/?utm_source=price&amp;utm_medium=xlsx","открыть")</f>
        <v>открыть</v>
      </c>
    </row>
    <row r="1109">
      <c r="A1109" t="inlineStr">
        <is>
          <t xml:space="preserve">Мужской</t>
        </is>
      </c>
      <c r="B1109" t="inlineStr">
        <is>
          <t xml:space="preserve">Тапочки</t>
        </is>
      </c>
      <c r="C1109" t="inlineStr">
        <is>
          <t xml:space="preserve">Тапочки домашние подошва с эффектом памяти, коричневый меланж</t>
        </is>
      </c>
      <c r="D1109" t="inlineStr">
        <is>
          <t xml:space="preserve">T3SL52M07_коричневый</t>
        </is>
      </c>
      <c r="E1109" t="inlineStr">
        <is>
          <t xml:space="preserve">коричневый меланж</t>
        </is>
      </c>
      <c r="F1109" t="inlineStr">
        <is>
          <t xml:space="preserve">41-42</t>
        </is>
      </c>
      <c r="G1109">
        <v>40</v>
      </c>
      <c r="H1109" s="2">
        <v>27.0</v>
      </c>
      <c r="I1109" t="inlineStr">
        <is>
          <t xml:space="preserve">полиэфирное волокно, войлок, мех искусственный</t>
        </is>
      </c>
      <c r="J1109" t="inlineStr">
        <is>
          <t xml:space="preserve">круглогодичный</t>
        </is>
      </c>
      <c r="K1109" t="inlineStr">
        <is>
          <t xml:space="preserve">Китай</t>
        </is>
      </c>
      <c r="L1109" t="inlineStr">
        <is>
          <t xml:space="preserve">6404191000</t>
        </is>
      </c>
      <c r="M1109" t="inlineStr">
        <is>
          <t xml:space="preserve">Декларация № ЕАЭС № BY/112 11.01. ТР017 122.01 20962, до 19.05.2030</t>
        </is>
      </c>
      <c r="N1109" t="inlineStr">
        <is>
          <t xml:space="preserve">35 × 26 × 9</t>
        </is>
      </c>
      <c r="O1109" t="inlineStr">
        <is>
          <t xml:space="preserve">0,32</t>
        </is>
      </c>
      <c r="P1109" t="inlineStr">
        <is>
          <t xml:space="preserve">4816148162120</t>
        </is>
      </c>
      <c r="Q1109" s="3" t="str">
        <f>HYPERLINK("https://modify.by/img/1329832196/1.webp","фото")</f>
        <v>фото</v>
      </c>
      <c r="R1109" s="3" t="str">
        <f>HYPERLINK("https://modify.by/catalog/tapochki/1329832196/?utm_source=price&amp;utm_medium=xlsx","открыть")</f>
        <v>открыть</v>
      </c>
    </row>
    <row r="1110">
      <c r="A1110" t="inlineStr">
        <is>
          <t xml:space="preserve">Мужской</t>
        </is>
      </c>
      <c r="B1110" t="inlineStr">
        <is>
          <t xml:space="preserve">Тапочки</t>
        </is>
      </c>
      <c r="C1110" t="inlineStr">
        <is>
          <t xml:space="preserve">Тапочки домашние подошва с эффектом памяти, коричневый меланж</t>
        </is>
      </c>
      <c r="D1110" t="inlineStr">
        <is>
          <t xml:space="preserve">T3SL52M07_коричневый</t>
        </is>
      </c>
      <c r="E1110" t="inlineStr">
        <is>
          <t xml:space="preserve">коричневый меланж</t>
        </is>
      </c>
      <c r="F1110" t="inlineStr">
        <is>
          <t xml:space="preserve">43-44</t>
        </is>
      </c>
      <c r="G1110">
        <v>40</v>
      </c>
      <c r="H1110" s="2">
        <v>27.0</v>
      </c>
      <c r="I1110" t="inlineStr">
        <is>
          <t xml:space="preserve">полиэфирное волокно, войлок, мех искусственный</t>
        </is>
      </c>
      <c r="J1110" t="inlineStr">
        <is>
          <t xml:space="preserve">круглогодичный</t>
        </is>
      </c>
      <c r="K1110" t="inlineStr">
        <is>
          <t xml:space="preserve">Китай</t>
        </is>
      </c>
      <c r="L1110" t="inlineStr">
        <is>
          <t xml:space="preserve">6404191000</t>
        </is>
      </c>
      <c r="M1110" t="inlineStr">
        <is>
          <t xml:space="preserve">Декларация № ЕАЭС № BY/112 11.01. ТР017 122.01 20962, до 19.05.2030</t>
        </is>
      </c>
      <c r="N1110" t="inlineStr">
        <is>
          <t xml:space="preserve">35 × 26 × 9</t>
        </is>
      </c>
      <c r="O1110" t="inlineStr">
        <is>
          <t xml:space="preserve">0,32</t>
        </is>
      </c>
      <c r="P1110" t="inlineStr">
        <is>
          <t xml:space="preserve">4816148162137</t>
        </is>
      </c>
      <c r="Q1110" s="3" t="str">
        <f>HYPERLINK("https://modify.by/img/1329832196/1.webp","фото")</f>
        <v>фото</v>
      </c>
      <c r="R1110" s="3" t="str">
        <f>HYPERLINK("https://modify.by/catalog/tapochki/1329832196/?utm_source=price&amp;utm_medium=xlsx","открыть")</f>
        <v>открыть</v>
      </c>
    </row>
    <row r="1111">
      <c r="A1111" t="inlineStr">
        <is>
          <t xml:space="preserve">Мужской</t>
        </is>
      </c>
      <c r="B1111" t="inlineStr">
        <is>
          <t xml:space="preserve">Тапочки</t>
        </is>
      </c>
      <c r="C1111" t="inlineStr">
        <is>
          <t xml:space="preserve">Тапочки домашние подошва с эффектом памяти, коричневый меланж</t>
        </is>
      </c>
      <c r="D1111" t="inlineStr">
        <is>
          <t xml:space="preserve">T3SL52M07_коричневый</t>
        </is>
      </c>
      <c r="E1111" t="inlineStr">
        <is>
          <t xml:space="preserve">коричневый меланж</t>
        </is>
      </c>
      <c r="F1111" t="inlineStr">
        <is>
          <t xml:space="preserve">45-46</t>
        </is>
      </c>
      <c r="G1111">
        <v>49</v>
      </c>
      <c r="H1111" s="2">
        <v>27.0</v>
      </c>
      <c r="I1111" t="inlineStr">
        <is>
          <t xml:space="preserve">полиэфирное волокно, войлок, мех искусственный</t>
        </is>
      </c>
      <c r="J1111" t="inlineStr">
        <is>
          <t xml:space="preserve">круглогодичный</t>
        </is>
      </c>
      <c r="K1111" t="inlineStr">
        <is>
          <t xml:space="preserve">Китай</t>
        </is>
      </c>
      <c r="L1111" t="inlineStr">
        <is>
          <t xml:space="preserve">6404191000</t>
        </is>
      </c>
      <c r="M1111" t="inlineStr">
        <is>
          <t xml:space="preserve">Декларация № ЕАЭС № BY/112 11.01. ТР017 122.01 20962, до 19.05.2030</t>
        </is>
      </c>
      <c r="N1111" t="inlineStr">
        <is>
          <t xml:space="preserve">35 × 26 × 9</t>
        </is>
      </c>
      <c r="O1111" t="inlineStr">
        <is>
          <t xml:space="preserve">0,32</t>
        </is>
      </c>
      <c r="P1111" t="inlineStr">
        <is>
          <t xml:space="preserve">4816148181633</t>
        </is>
      </c>
      <c r="Q1111" s="3" t="str">
        <f>HYPERLINK("https://modify.by/img/1329832196/1.webp","фото")</f>
        <v>фото</v>
      </c>
      <c r="R1111" s="3" t="str">
        <f>HYPERLINK("https://modify.by/catalog/tapochki/1329832196/?utm_source=price&amp;utm_medium=xlsx","открыть")</f>
        <v>открыть</v>
      </c>
    </row>
    <row r="1112">
      <c r="A1112" t="inlineStr">
        <is>
          <t xml:space="preserve">Мужской</t>
        </is>
      </c>
      <c r="B1112" t="inlineStr">
        <is>
          <t xml:space="preserve">Тапочки</t>
        </is>
      </c>
      <c r="C1112" t="inlineStr">
        <is>
          <t xml:space="preserve">Тапочки домашние подошва с эффектом памяти, серый меланж</t>
        </is>
      </c>
      <c r="D1112" t="inlineStr">
        <is>
          <t xml:space="preserve">T3SL52M07серый меланж</t>
        </is>
      </c>
      <c r="E1112" t="inlineStr">
        <is>
          <t xml:space="preserve">серый меланж, серый, мышино-серый</t>
        </is>
      </c>
      <c r="F1112" t="inlineStr">
        <is>
          <t xml:space="preserve">39-40</t>
        </is>
      </c>
      <c r="G1112">
        <v>35</v>
      </c>
      <c r="H1112" s="2">
        <v>27.0</v>
      </c>
      <c r="I1112" t="inlineStr">
        <is>
          <t xml:space="preserve">Велюр, экомех, подошва 100% ЭВА, EVA войлок</t>
        </is>
      </c>
      <c r="J1112" t="inlineStr">
        <is>
          <t xml:space="preserve">круглогодичный</t>
        </is>
      </c>
      <c r="K1112" t="inlineStr">
        <is>
          <t xml:space="preserve">Китай</t>
        </is>
      </c>
      <c r="L1112" t="inlineStr">
        <is>
          <t xml:space="preserve">6404191000</t>
        </is>
      </c>
      <c r="M1112" t="inlineStr">
        <is>
          <t xml:space="preserve">Декларация № ЕАЭС № BY/112 11.01. ТР017 122.01 20962, до 19.05.2030</t>
        </is>
      </c>
      <c r="N1112" t="inlineStr">
        <is>
          <t xml:space="preserve">35 × 26 × 9</t>
        </is>
      </c>
      <c r="O1112" t="inlineStr">
        <is>
          <t xml:space="preserve">0,32</t>
        </is>
      </c>
      <c r="P1112" t="inlineStr">
        <is>
          <t xml:space="preserve">4816148162151</t>
        </is>
      </c>
      <c r="Q1112" s="3" t="str">
        <f>HYPERLINK("https://modify.by/img/367827429/1.webp","фото")</f>
        <v>фото</v>
      </c>
      <c r="R1112" s="3" t="str">
        <f>HYPERLINK("https://modify.by/catalog/tapochki/367827429/?utm_source=price&amp;utm_medium=xlsx","открыть")</f>
        <v>открыть</v>
      </c>
    </row>
    <row r="1113">
      <c r="A1113" t="inlineStr">
        <is>
          <t xml:space="preserve">Мужской</t>
        </is>
      </c>
      <c r="B1113" t="inlineStr">
        <is>
          <t xml:space="preserve">Тапочки</t>
        </is>
      </c>
      <c r="C1113" t="inlineStr">
        <is>
          <t xml:space="preserve">Тапочки домашние подошва с эффектом памяти, серый меланж</t>
        </is>
      </c>
      <c r="D1113" t="inlineStr">
        <is>
          <t xml:space="preserve">T3SL52M07серый меланж</t>
        </is>
      </c>
      <c r="E1113" t="inlineStr">
        <is>
          <t xml:space="preserve">серый меланж, серый, мышино-серый</t>
        </is>
      </c>
      <c r="F1113" t="inlineStr">
        <is>
          <t xml:space="preserve">41-42</t>
        </is>
      </c>
      <c r="G1113">
        <v>60</v>
      </c>
      <c r="H1113" s="2">
        <v>27.0</v>
      </c>
      <c r="I1113" t="inlineStr">
        <is>
          <t xml:space="preserve">Велюр, экомех, подошва 100% ЭВА, EVA войлок</t>
        </is>
      </c>
      <c r="J1113" t="inlineStr">
        <is>
          <t xml:space="preserve">круглогодичный</t>
        </is>
      </c>
      <c r="K1113" t="inlineStr">
        <is>
          <t xml:space="preserve">Китай</t>
        </is>
      </c>
      <c r="L1113" t="inlineStr">
        <is>
          <t xml:space="preserve">6404191000</t>
        </is>
      </c>
      <c r="M1113" t="inlineStr">
        <is>
          <t xml:space="preserve">Декларация № ЕАЭС № BY/112 11.01. ТР017 122.01 20962, до 19.05.2030</t>
        </is>
      </c>
      <c r="N1113" t="inlineStr">
        <is>
          <t xml:space="preserve">35 × 26 × 9</t>
        </is>
      </c>
      <c r="O1113" t="inlineStr">
        <is>
          <t xml:space="preserve">0,32</t>
        </is>
      </c>
      <c r="P1113" t="inlineStr">
        <is>
          <t xml:space="preserve">4816148162168</t>
        </is>
      </c>
      <c r="Q1113" s="3" t="str">
        <f>HYPERLINK("https://modify.by/img/367827429/1.webp","фото")</f>
        <v>фото</v>
      </c>
      <c r="R1113" s="3" t="str">
        <f>HYPERLINK("https://modify.by/catalog/tapochki/367827429/?utm_source=price&amp;utm_medium=xlsx","открыть")</f>
        <v>открыть</v>
      </c>
    </row>
    <row r="1114">
      <c r="A1114" t="inlineStr">
        <is>
          <t xml:space="preserve">Мужской</t>
        </is>
      </c>
      <c r="B1114" t="inlineStr">
        <is>
          <t xml:space="preserve">Тапочки</t>
        </is>
      </c>
      <c r="C1114" t="inlineStr">
        <is>
          <t xml:space="preserve">Тапочки домашние подошва с эффектом памяти, серый меланж</t>
        </is>
      </c>
      <c r="D1114" t="inlineStr">
        <is>
          <t xml:space="preserve">T3SL52M07серый меланж</t>
        </is>
      </c>
      <c r="E1114" t="inlineStr">
        <is>
          <t xml:space="preserve">серый меланж, серый, мышино-серый</t>
        </is>
      </c>
      <c r="F1114" t="inlineStr">
        <is>
          <t xml:space="preserve">43-44</t>
        </is>
      </c>
      <c r="G1114">
        <v>32</v>
      </c>
      <c r="H1114" s="2">
        <v>27.0</v>
      </c>
      <c r="I1114" t="inlineStr">
        <is>
          <t xml:space="preserve">Велюр, экомех, подошва 100% ЭВА, EVA войлок</t>
        </is>
      </c>
      <c r="J1114" t="inlineStr">
        <is>
          <t xml:space="preserve">круглогодичный</t>
        </is>
      </c>
      <c r="K1114" t="inlineStr">
        <is>
          <t xml:space="preserve">Китай</t>
        </is>
      </c>
      <c r="L1114" t="inlineStr">
        <is>
          <t xml:space="preserve">6404191000</t>
        </is>
      </c>
      <c r="M1114" t="inlineStr">
        <is>
          <t xml:space="preserve">Декларация № ЕАЭС № BY/112 11.01. ТР017 122.01 20962, до 19.05.2030</t>
        </is>
      </c>
      <c r="N1114" t="inlineStr">
        <is>
          <t xml:space="preserve">35 × 26 × 9</t>
        </is>
      </c>
      <c r="O1114" t="inlineStr">
        <is>
          <t xml:space="preserve">0,32</t>
        </is>
      </c>
      <c r="P1114" t="inlineStr">
        <is>
          <t xml:space="preserve">4816148162175</t>
        </is>
      </c>
      <c r="Q1114" s="3" t="str">
        <f>HYPERLINK("https://modify.by/img/367827429/1.webp","фото")</f>
        <v>фото</v>
      </c>
      <c r="R1114" s="3" t="str">
        <f>HYPERLINK("https://modify.by/catalog/tapochki/367827429/?utm_source=price&amp;utm_medium=xlsx","открыть")</f>
        <v>открыть</v>
      </c>
    </row>
    <row r="1115">
      <c r="A1115" t="inlineStr">
        <is>
          <t xml:space="preserve">Мужской</t>
        </is>
      </c>
      <c r="B1115" t="inlineStr">
        <is>
          <t xml:space="preserve">Тапочки</t>
        </is>
      </c>
      <c r="C1115" t="inlineStr">
        <is>
          <t xml:space="preserve">Тапочки домашние подошва с эффектом памяти, серый меланж</t>
        </is>
      </c>
      <c r="D1115" t="inlineStr">
        <is>
          <t xml:space="preserve">T3SL52M07серый меланж</t>
        </is>
      </c>
      <c r="E1115" t="inlineStr">
        <is>
          <t xml:space="preserve">серый меланж, серый, мышино-серый</t>
        </is>
      </c>
      <c r="F1115" t="inlineStr">
        <is>
          <t xml:space="preserve">45-46</t>
        </is>
      </c>
      <c r="G1115">
        <v>23</v>
      </c>
      <c r="H1115" s="2">
        <v>27.0</v>
      </c>
      <c r="I1115" t="inlineStr">
        <is>
          <t xml:space="preserve">Велюр, экомех, подошва 100% ЭВА, EVA войлок</t>
        </is>
      </c>
      <c r="J1115" t="inlineStr">
        <is>
          <t xml:space="preserve">круглогодичный</t>
        </is>
      </c>
      <c r="K1115" t="inlineStr">
        <is>
          <t xml:space="preserve">Китай</t>
        </is>
      </c>
      <c r="L1115" t="inlineStr">
        <is>
          <t xml:space="preserve">6404191000</t>
        </is>
      </c>
      <c r="M1115" t="inlineStr">
        <is>
          <t xml:space="preserve">Декларация № ЕАЭС № BY/112 11.01. ТР017 122.01 20962, до 19.05.2030</t>
        </is>
      </c>
      <c r="N1115" t="inlineStr">
        <is>
          <t xml:space="preserve">35 × 26 × 9</t>
        </is>
      </c>
      <c r="O1115" t="inlineStr">
        <is>
          <t xml:space="preserve">0,32</t>
        </is>
      </c>
      <c r="P1115" t="inlineStr">
        <is>
          <t xml:space="preserve">4816148169464</t>
        </is>
      </c>
      <c r="Q1115" s="3" t="str">
        <f>HYPERLINK("https://modify.by/img/367827429/1.webp","фото")</f>
        <v>фото</v>
      </c>
      <c r="R1115" s="3" t="str">
        <f>HYPERLINK("https://modify.by/catalog/tapochki/367827429/?utm_source=price&amp;utm_medium=xlsx","открыть")</f>
        <v>открыть</v>
      </c>
    </row>
    <row r="1116">
      <c r="A1116" t="inlineStr">
        <is>
          <t xml:space="preserve">Мужской</t>
        </is>
      </c>
      <c r="B1116" t="inlineStr">
        <is>
          <t xml:space="preserve">Тапочки</t>
        </is>
      </c>
      <c r="C1116" t="inlineStr">
        <is>
          <t xml:space="preserve">Тапочки домашние теплые меховые закрытые с эффектом памяти, коричневый</t>
        </is>
      </c>
      <c r="D1116" t="inlineStr">
        <is>
          <t xml:space="preserve">T3SL62M05_коричневый</t>
        </is>
      </c>
      <c r="E1116" t="inlineStr">
        <is>
          <t xml:space="preserve">коричневый</t>
        </is>
      </c>
      <c r="F1116" t="inlineStr">
        <is>
          <t xml:space="preserve">42</t>
        </is>
      </c>
      <c r="G1116">
        <v>31</v>
      </c>
      <c r="H1116" s="2">
        <v>27.0</v>
      </c>
      <c r="I1116" t="inlineStr">
        <is>
          <t xml:space="preserve">экокожа, экомех, EVA</t>
        </is>
      </c>
      <c r="J1116"/>
      <c r="K1116" t="inlineStr">
        <is>
          <t xml:space="preserve">Китай</t>
        </is>
      </c>
      <c r="L1116" t="inlineStr">
        <is>
          <t xml:space="preserve">6404191000</t>
        </is>
      </c>
      <c r="M1116" t="inlineStr">
        <is>
          <t xml:space="preserve">Декларация № ЕАЭС № BY/112 11.01. ТР017 122.01 20962, до 19.05.2030</t>
        </is>
      </c>
      <c r="N1116" t="inlineStr">
        <is>
          <t xml:space="preserve">35 × 26 × 9</t>
        </is>
      </c>
      <c r="O1116" t="inlineStr">
        <is>
          <t xml:space="preserve">0,32</t>
        </is>
      </c>
      <c r="P1116" t="inlineStr">
        <is>
          <t xml:space="preserve">4816148181701</t>
        </is>
      </c>
      <c r="Q1116" s="3" t="str">
        <f>HYPERLINK("https://modify.by/img/1330190923/1.webp","фото")</f>
        <v>фото</v>
      </c>
      <c r="R1116" s="3" t="str">
        <f>HYPERLINK("https://modify.by/catalog/tapochki/1330190923/?utm_source=price&amp;utm_medium=xlsx","открыть")</f>
        <v>открыть</v>
      </c>
    </row>
    <row r="1117">
      <c r="A1117" t="inlineStr">
        <is>
          <t xml:space="preserve">Мужской</t>
        </is>
      </c>
      <c r="B1117" t="inlineStr">
        <is>
          <t xml:space="preserve">Тапочки</t>
        </is>
      </c>
      <c r="C1117" t="inlineStr">
        <is>
          <t xml:space="preserve">Тапочки домашние теплые меховые закрытые с эффектом памяти, коричневый</t>
        </is>
      </c>
      <c r="D1117" t="inlineStr">
        <is>
          <t xml:space="preserve">T3SL62M05_коричневый</t>
        </is>
      </c>
      <c r="E1117" t="inlineStr">
        <is>
          <t xml:space="preserve">коричневый</t>
        </is>
      </c>
      <c r="F1117" t="inlineStr">
        <is>
          <t xml:space="preserve">43</t>
        </is>
      </c>
      <c r="G1117">
        <v>37</v>
      </c>
      <c r="H1117" s="2">
        <v>27.0</v>
      </c>
      <c r="I1117" t="inlineStr">
        <is>
          <t xml:space="preserve">экокожа, экомех, EVA</t>
        </is>
      </c>
      <c r="J1117"/>
      <c r="K1117" t="inlineStr">
        <is>
          <t xml:space="preserve">Китай</t>
        </is>
      </c>
      <c r="L1117" t="inlineStr">
        <is>
          <t xml:space="preserve">6404191000</t>
        </is>
      </c>
      <c r="M1117" t="inlineStr">
        <is>
          <t xml:space="preserve">Декларация № ЕАЭС № BY/112 11.01. ТР017 122.01 20962, до 19.05.2030</t>
        </is>
      </c>
      <c r="N1117" t="inlineStr">
        <is>
          <t xml:space="preserve">35 × 26 × 9</t>
        </is>
      </c>
      <c r="O1117" t="inlineStr">
        <is>
          <t xml:space="preserve">0,32</t>
        </is>
      </c>
      <c r="P1117" t="inlineStr">
        <is>
          <t xml:space="preserve">4816148181718</t>
        </is>
      </c>
      <c r="Q1117" s="3" t="str">
        <f>HYPERLINK("https://modify.by/img/1330190923/1.webp","фото")</f>
        <v>фото</v>
      </c>
      <c r="R1117" s="3" t="str">
        <f>HYPERLINK("https://modify.by/catalog/tapochki/1330190923/?utm_source=price&amp;utm_medium=xlsx","открыть")</f>
        <v>открыть</v>
      </c>
    </row>
    <row r="1118">
      <c r="A1118" t="inlineStr">
        <is>
          <t xml:space="preserve">Мужской</t>
        </is>
      </c>
      <c r="B1118" t="inlineStr">
        <is>
          <t xml:space="preserve">Тапочки</t>
        </is>
      </c>
      <c r="C1118" t="inlineStr">
        <is>
          <t xml:space="preserve">Тапочки домашние теплые меховые закрытые с эффектом памяти, коричневый</t>
        </is>
      </c>
      <c r="D1118" t="inlineStr">
        <is>
          <t xml:space="preserve">T3SL62M05_коричневый</t>
        </is>
      </c>
      <c r="E1118" t="inlineStr">
        <is>
          <t xml:space="preserve">коричневый</t>
        </is>
      </c>
      <c r="F1118" t="inlineStr">
        <is>
          <t xml:space="preserve">44</t>
        </is>
      </c>
      <c r="G1118">
        <v>39</v>
      </c>
      <c r="H1118" s="2">
        <v>27.0</v>
      </c>
      <c r="I1118" t="inlineStr">
        <is>
          <t xml:space="preserve">экокожа, экомех, EVA</t>
        </is>
      </c>
      <c r="J1118"/>
      <c r="K1118" t="inlineStr">
        <is>
          <t xml:space="preserve">Китай</t>
        </is>
      </c>
      <c r="L1118" t="inlineStr">
        <is>
          <t xml:space="preserve">6404191000</t>
        </is>
      </c>
      <c r="M1118" t="inlineStr">
        <is>
          <t xml:space="preserve">Декларация № ЕАЭС № BY/112 11.01. ТР017 122.01 20962, до 19.05.2030</t>
        </is>
      </c>
      <c r="N1118" t="inlineStr">
        <is>
          <t xml:space="preserve">35 × 26 × 9</t>
        </is>
      </c>
      <c r="O1118" t="inlineStr">
        <is>
          <t xml:space="preserve">0,32</t>
        </is>
      </c>
      <c r="P1118" t="inlineStr">
        <is>
          <t xml:space="preserve">4816148181725</t>
        </is>
      </c>
      <c r="Q1118" s="3" t="str">
        <f>HYPERLINK("https://modify.by/img/1330190923/1.webp","фото")</f>
        <v>фото</v>
      </c>
      <c r="R1118" s="3" t="str">
        <f>HYPERLINK("https://modify.by/catalog/tapochki/1330190923/?utm_source=price&amp;utm_medium=xlsx","открыть")</f>
        <v>открыть</v>
      </c>
    </row>
    <row r="1119">
      <c r="A1119" t="inlineStr">
        <is>
          <t xml:space="preserve">Мужской</t>
        </is>
      </c>
      <c r="B1119" t="inlineStr">
        <is>
          <t xml:space="preserve">Тапочки</t>
        </is>
      </c>
      <c r="C1119" t="inlineStr">
        <is>
          <t xml:space="preserve">Тапочки домашние теплые меховые закрытые с эффектом памяти, кофейный</t>
        </is>
      </c>
      <c r="D1119" t="inlineStr">
        <is>
          <t xml:space="preserve">T3SL52M05_кофе</t>
        </is>
      </c>
      <c r="E1119" t="inlineStr">
        <is>
          <t xml:space="preserve">кофейный, кофе с молоком</t>
        </is>
      </c>
      <c r="F1119" t="inlineStr">
        <is>
          <t xml:space="preserve">43</t>
        </is>
      </c>
      <c r="G1119">
        <v>34</v>
      </c>
      <c r="H1119" s="2">
        <v>27.0</v>
      </c>
      <c r="I1119" t="inlineStr">
        <is>
          <t xml:space="preserve">ПВХ, экомех, EVA</t>
        </is>
      </c>
      <c r="J1119" t="inlineStr">
        <is>
          <t xml:space="preserve">демисезон</t>
        </is>
      </c>
      <c r="K1119" t="inlineStr">
        <is>
          <t xml:space="preserve">Китай</t>
        </is>
      </c>
      <c r="L1119" t="inlineStr">
        <is>
          <t xml:space="preserve">6404191000</t>
        </is>
      </c>
      <c r="M1119" t="inlineStr">
        <is>
          <t xml:space="preserve">Декларация № ЕАЭС № BY/112 11.01. ТР017 122.01 20962, до 19.05.2030</t>
        </is>
      </c>
      <c r="N1119" t="inlineStr">
        <is>
          <t xml:space="preserve">35 × 26 × 9</t>
        </is>
      </c>
      <c r="O1119" t="inlineStr">
        <is>
          <t xml:space="preserve">0,32</t>
        </is>
      </c>
      <c r="P1119" t="inlineStr">
        <is>
          <t xml:space="preserve">4816148162052</t>
        </is>
      </c>
      <c r="Q1119" s="3" t="str">
        <f>HYPERLINK("https://modify.by/img/1331606658/1.webp","фото")</f>
        <v>фото</v>
      </c>
      <c r="R1119" s="3" t="str">
        <f>HYPERLINK("https://modify.by/catalog/tapochki/1331606658/?utm_source=price&amp;utm_medium=xlsx","открыть")</f>
        <v>открыть</v>
      </c>
    </row>
    <row r="1120">
      <c r="A1120" t="inlineStr">
        <is>
          <t xml:space="preserve">Мужской</t>
        </is>
      </c>
      <c r="B1120" t="inlineStr">
        <is>
          <t xml:space="preserve">Тапочки</t>
        </is>
      </c>
      <c r="C1120" t="inlineStr">
        <is>
          <t xml:space="preserve">Тапочки домашние теплые меховые закрытые с эффектом памяти, кофейный</t>
        </is>
      </c>
      <c r="D1120" t="inlineStr">
        <is>
          <t xml:space="preserve">T3SL52M05_кофе</t>
        </is>
      </c>
      <c r="E1120" t="inlineStr">
        <is>
          <t xml:space="preserve">кофейный, кофе с молоком</t>
        </is>
      </c>
      <c r="F1120" t="inlineStr">
        <is>
          <t xml:space="preserve">44</t>
        </is>
      </c>
      <c r="G1120">
        <v>40</v>
      </c>
      <c r="H1120" s="2">
        <v>27.0</v>
      </c>
      <c r="I1120" t="inlineStr">
        <is>
          <t xml:space="preserve">ПВХ, экомех, EVA</t>
        </is>
      </c>
      <c r="J1120" t="inlineStr">
        <is>
          <t xml:space="preserve">демисезон</t>
        </is>
      </c>
      <c r="K1120" t="inlineStr">
        <is>
          <t xml:space="preserve">Китай</t>
        </is>
      </c>
      <c r="L1120" t="inlineStr">
        <is>
          <t xml:space="preserve">6404191000</t>
        </is>
      </c>
      <c r="M1120" t="inlineStr">
        <is>
          <t xml:space="preserve">Декларация № ЕАЭС № BY/112 11.01. ТР017 122.01 20962, до 19.05.2030</t>
        </is>
      </c>
      <c r="N1120" t="inlineStr">
        <is>
          <t xml:space="preserve">35 × 26 × 9</t>
        </is>
      </c>
      <c r="O1120" t="inlineStr">
        <is>
          <t xml:space="preserve">0,32</t>
        </is>
      </c>
      <c r="P1120" t="inlineStr">
        <is>
          <t xml:space="preserve">4816148162069</t>
        </is>
      </c>
      <c r="Q1120" s="3" t="str">
        <f>HYPERLINK("https://modify.by/img/1331606658/1.webp","фото")</f>
        <v>фото</v>
      </c>
      <c r="R1120" s="3" t="str">
        <f>HYPERLINK("https://modify.by/catalog/tapochki/1331606658/?utm_source=price&amp;utm_medium=xlsx","открыть")</f>
        <v>открыть</v>
      </c>
    </row>
    <row r="1121">
      <c r="A1121" t="inlineStr">
        <is>
          <t xml:space="preserve">Мужской</t>
        </is>
      </c>
      <c r="B1121" t="inlineStr">
        <is>
          <t xml:space="preserve">Тапочки</t>
        </is>
      </c>
      <c r="C1121" t="inlineStr">
        <is>
          <t xml:space="preserve">Тапочки домашние теплые меховые закрытые с эффектом памяти, серый</t>
        </is>
      </c>
      <c r="D1121" t="inlineStr">
        <is>
          <t xml:space="preserve">T3SL52M05серый</t>
        </is>
      </c>
      <c r="E1121" t="inlineStr">
        <is>
          <t xml:space="preserve">серый</t>
        </is>
      </c>
      <c r="F1121" t="inlineStr">
        <is>
          <t xml:space="preserve">44</t>
        </is>
      </c>
      <c r="G1121">
        <v>40</v>
      </c>
      <c r="H1121" s="2">
        <v>27.0</v>
      </c>
      <c r="I1121" t="inlineStr">
        <is>
          <t xml:space="preserve">экокожа, мех, ПВХ</t>
        </is>
      </c>
      <c r="J1121" t="inlineStr">
        <is>
          <t xml:space="preserve">демисезон</t>
        </is>
      </c>
      <c r="K1121" t="inlineStr">
        <is>
          <t xml:space="preserve">Китай</t>
        </is>
      </c>
      <c r="L1121" t="inlineStr">
        <is>
          <t xml:space="preserve">6404191000</t>
        </is>
      </c>
      <c r="M1121" t="inlineStr">
        <is>
          <t xml:space="preserve">Декларация № ЕАЭС № BY/112 11.01. ТР017 122.01 20962, до 19.05.2030</t>
        </is>
      </c>
      <c r="N1121" t="inlineStr">
        <is>
          <t xml:space="preserve">35 × 26 × 9</t>
        </is>
      </c>
      <c r="O1121" t="inlineStr">
        <is>
          <t xml:space="preserve">0,32</t>
        </is>
      </c>
      <c r="P1121" t="inlineStr">
        <is>
          <t xml:space="preserve">4816148169440</t>
        </is>
      </c>
      <c r="Q1121" s="3" t="str">
        <f>HYPERLINK("https://modify.by/img/591367515/1.webp","фото")</f>
        <v>фото</v>
      </c>
      <c r="R1121" s="3" t="str">
        <f>HYPERLINK("https://modify.by/catalog/tapochki/591367515/?utm_source=price&amp;utm_medium=xlsx","открыть")</f>
        <v>открыть</v>
      </c>
    </row>
    <row r="1122">
      <c r="A1122" t="inlineStr">
        <is>
          <t xml:space="preserve">Мужской</t>
        </is>
      </c>
      <c r="B1122" t="inlineStr">
        <is>
          <t xml:space="preserve">Тапочки</t>
        </is>
      </c>
      <c r="C1122" t="inlineStr">
        <is>
          <t xml:space="preserve">Тапочки домашние теплые меховые закрытые с эффектом памяти, серый</t>
        </is>
      </c>
      <c r="D1122" t="inlineStr">
        <is>
          <t xml:space="preserve">T3SL52M05серый</t>
        </is>
      </c>
      <c r="E1122" t="inlineStr">
        <is>
          <t xml:space="preserve">серый</t>
        </is>
      </c>
      <c r="F1122" t="inlineStr">
        <is>
          <t xml:space="preserve">45</t>
        </is>
      </c>
      <c r="G1122">
        <v>50</v>
      </c>
      <c r="H1122" s="2">
        <v>27.0</v>
      </c>
      <c r="I1122" t="inlineStr">
        <is>
          <t xml:space="preserve">экокожа, мех, ПВХ</t>
        </is>
      </c>
      <c r="J1122" t="inlineStr">
        <is>
          <t xml:space="preserve">демисезон</t>
        </is>
      </c>
      <c r="K1122" t="inlineStr">
        <is>
          <t xml:space="preserve">Китай</t>
        </is>
      </c>
      <c r="L1122" t="inlineStr">
        <is>
          <t xml:space="preserve">6404191000</t>
        </is>
      </c>
      <c r="M1122" t="inlineStr">
        <is>
          <t xml:space="preserve">Декларация № ЕАЭС № BY/112 11.01. ТР017 122.01 20962, до 19.05.2030</t>
        </is>
      </c>
      <c r="N1122" t="inlineStr">
        <is>
          <t xml:space="preserve">35 × 26 × 9</t>
        </is>
      </c>
      <c r="O1122" t="inlineStr">
        <is>
          <t xml:space="preserve">0,32</t>
        </is>
      </c>
      <c r="P1122" t="inlineStr">
        <is>
          <t xml:space="preserve">4816148169457</t>
        </is>
      </c>
      <c r="Q1122" s="3" t="str">
        <f>HYPERLINK("https://modify.by/img/591367515/1.webp","фото")</f>
        <v>фото</v>
      </c>
      <c r="R1122" s="3" t="str">
        <f>HYPERLINK("https://modify.by/catalog/tapochki/591367515/?utm_source=price&amp;utm_medium=xlsx","открыть")</f>
        <v>открыть</v>
      </c>
    </row>
    <row r="1123">
      <c r="A1123" t="inlineStr">
        <is>
          <t xml:space="preserve">Мужской</t>
        </is>
      </c>
      <c r="B1123" t="inlineStr">
        <is>
          <t xml:space="preserve">Тапочки</t>
        </is>
      </c>
      <c r="C1123" t="inlineStr">
        <is>
          <t xml:space="preserve">Тапочки домашние теплые меховые закрытые с эффектом памяти, серый</t>
        </is>
      </c>
      <c r="D1123" t="inlineStr">
        <is>
          <t xml:space="preserve">T3SL52M05серый</t>
        </is>
      </c>
      <c r="E1123" t="inlineStr">
        <is>
          <t xml:space="preserve">серый</t>
        </is>
      </c>
      <c r="F1123" t="inlineStr">
        <is>
          <t xml:space="preserve">42-43</t>
        </is>
      </c>
      <c r="G1123">
        <v>35</v>
      </c>
      <c r="H1123" s="2">
        <v>27.0</v>
      </c>
      <c r="I1123" t="inlineStr">
        <is>
          <t xml:space="preserve">экокожа, мех, ПВХ</t>
        </is>
      </c>
      <c r="J1123" t="inlineStr">
        <is>
          <t xml:space="preserve">демисезон</t>
        </is>
      </c>
      <c r="K1123" t="inlineStr">
        <is>
          <t xml:space="preserve">Китай</t>
        </is>
      </c>
      <c r="L1123" t="inlineStr">
        <is>
          <t xml:space="preserve">6404191000</t>
        </is>
      </c>
      <c r="M1123" t="inlineStr">
        <is>
          <t xml:space="preserve">Декларация № ЕАЭС № BY/112 11.01. ТР017 122.01 20962, до 19.05.2030</t>
        </is>
      </c>
      <c r="N1123" t="inlineStr">
        <is>
          <t xml:space="preserve">35 × 26 × 9</t>
        </is>
      </c>
      <c r="O1123" t="inlineStr">
        <is>
          <t xml:space="preserve">0,32</t>
        </is>
      </c>
      <c r="P1123" t="inlineStr">
        <is>
          <t xml:space="preserve">4816148169433</t>
        </is>
      </c>
      <c r="Q1123" s="3" t="str">
        <f>HYPERLINK("https://modify.by/img/591367515/1.webp","фото")</f>
        <v>фото</v>
      </c>
      <c r="R1123" s="3" t="str">
        <f>HYPERLINK("https://modify.by/catalog/tapochki/591367515/?utm_source=price&amp;utm_medium=xlsx","открыть")</f>
        <v>открыть</v>
      </c>
    </row>
    <row r="1124">
      <c r="A1124" t="inlineStr">
        <is>
          <t xml:space="preserve">Мужской</t>
        </is>
      </c>
      <c r="B1124" t="inlineStr">
        <is>
          <t xml:space="preserve">Тапочки</t>
        </is>
      </c>
      <c r="C1124" t="inlineStr">
        <is>
          <t xml:space="preserve">Тапочки домашние теплые меховые закрытые с эффектом памяти, черный, арт. T3SL52M05_черный</t>
        </is>
      </c>
      <c r="D1124" t="inlineStr">
        <is>
          <t xml:space="preserve">T3SL52M05_черный</t>
        </is>
      </c>
      <c r="E1124" t="inlineStr">
        <is>
          <t xml:space="preserve">черный</t>
        </is>
      </c>
      <c r="F1124" t="inlineStr">
        <is>
          <t xml:space="preserve">43</t>
        </is>
      </c>
      <c r="G1124">
        <v>32</v>
      </c>
      <c r="H1124" s="2">
        <v>27.0</v>
      </c>
      <c r="I1124" t="inlineStr">
        <is>
          <t xml:space="preserve">экокожа, мех, ПВХ</t>
        </is>
      </c>
      <c r="J1124" t="inlineStr">
        <is>
          <t xml:space="preserve">демисезон</t>
        </is>
      </c>
      <c r="K1124" t="inlineStr">
        <is>
          <t xml:space="preserve">Китай</t>
        </is>
      </c>
      <c r="L1124" t="inlineStr">
        <is>
          <t xml:space="preserve">6404191000</t>
        </is>
      </c>
      <c r="M1124" t="inlineStr">
        <is>
          <t xml:space="preserve">Декларация № ЕАЭС № BY/112 11.01. ТР017 122.01 20962, до 19.05.2030</t>
        </is>
      </c>
      <c r="N1124" t="inlineStr">
        <is>
          <t xml:space="preserve">35 × 26 × 9</t>
        </is>
      </c>
      <c r="O1124" t="inlineStr">
        <is>
          <t xml:space="preserve">0,32</t>
        </is>
      </c>
      <c r="P1124" t="inlineStr">
        <is>
          <t xml:space="preserve">4816148181640</t>
        </is>
      </c>
      <c r="Q1124" s="3" t="str">
        <f>HYPERLINK("https://modify.by/img/1245517009/1.webp","фото")</f>
        <v>фото</v>
      </c>
      <c r="R1124" s="3" t="str">
        <f>HYPERLINK("https://modify.by/catalog/tapochki/1245517009/?utm_source=price&amp;utm_medium=xlsx","открыть")</f>
        <v>открыть</v>
      </c>
    </row>
    <row r="1125">
      <c r="A1125" t="inlineStr">
        <is>
          <t xml:space="preserve">Мужской</t>
        </is>
      </c>
      <c r="B1125" t="inlineStr">
        <is>
          <t xml:space="preserve">Тапочки</t>
        </is>
      </c>
      <c r="C1125" t="inlineStr">
        <is>
          <t xml:space="preserve">Тапочки домашние теплые меховые закрытые с эффектом памяти, черный, арт. T3SL52M05_черный</t>
        </is>
      </c>
      <c r="D1125" t="inlineStr">
        <is>
          <t xml:space="preserve">T3SL52M05_черный</t>
        </is>
      </c>
      <c r="E1125" t="inlineStr">
        <is>
          <t xml:space="preserve">черный</t>
        </is>
      </c>
      <c r="F1125" t="inlineStr">
        <is>
          <t xml:space="preserve">44</t>
        </is>
      </c>
      <c r="G1125">
        <v>40</v>
      </c>
      <c r="H1125" s="2">
        <v>27.0</v>
      </c>
      <c r="I1125" t="inlineStr">
        <is>
          <t xml:space="preserve">экокожа, мех, ПВХ</t>
        </is>
      </c>
      <c r="J1125" t="inlineStr">
        <is>
          <t xml:space="preserve">демисезон</t>
        </is>
      </c>
      <c r="K1125" t="inlineStr">
        <is>
          <t xml:space="preserve">Китай</t>
        </is>
      </c>
      <c r="L1125" t="inlineStr">
        <is>
          <t xml:space="preserve">6404191000</t>
        </is>
      </c>
      <c r="M1125" t="inlineStr">
        <is>
          <t xml:space="preserve">Декларация № ЕАЭС № BY/112 11.01. ТР017 122.01 20962, до 19.05.2030</t>
        </is>
      </c>
      <c r="N1125" t="inlineStr">
        <is>
          <t xml:space="preserve">35 × 26 × 9</t>
        </is>
      </c>
      <c r="O1125" t="inlineStr">
        <is>
          <t xml:space="preserve">0,32</t>
        </is>
      </c>
      <c r="P1125" t="inlineStr">
        <is>
          <t xml:space="preserve">4816148181657</t>
        </is>
      </c>
      <c r="Q1125" s="3" t="str">
        <f>HYPERLINK("https://modify.by/img/1245517009/1.webp","фото")</f>
        <v>фото</v>
      </c>
      <c r="R1125" s="3" t="str">
        <f>HYPERLINK("https://modify.by/catalog/tapochki/1245517009/?utm_source=price&amp;utm_medium=xlsx","открыть")</f>
        <v>открыть</v>
      </c>
    </row>
    <row r="1126">
      <c r="A1126" t="inlineStr">
        <is>
          <t xml:space="preserve">Мужской</t>
        </is>
      </c>
      <c r="B1126" t="inlineStr">
        <is>
          <t xml:space="preserve">Тапочки</t>
        </is>
      </c>
      <c r="C1126" t="inlineStr">
        <is>
          <t xml:space="preserve">Тапочки домашние теплые меховые закрытые с эффектом памяти, черный, арт. T3SL52M05_черный</t>
        </is>
      </c>
      <c r="D1126" t="inlineStr">
        <is>
          <t xml:space="preserve">T3SL52M05_черный</t>
        </is>
      </c>
      <c r="E1126" t="inlineStr">
        <is>
          <t xml:space="preserve">черный</t>
        </is>
      </c>
      <c r="F1126" t="inlineStr">
        <is>
          <t xml:space="preserve">45</t>
        </is>
      </c>
      <c r="G1126">
        <v>50</v>
      </c>
      <c r="H1126" s="2">
        <v>27.0</v>
      </c>
      <c r="I1126" t="inlineStr">
        <is>
          <t xml:space="preserve">экокожа, мех, ПВХ</t>
        </is>
      </c>
      <c r="J1126" t="inlineStr">
        <is>
          <t xml:space="preserve">демисезон</t>
        </is>
      </c>
      <c r="K1126" t="inlineStr">
        <is>
          <t xml:space="preserve">Китай</t>
        </is>
      </c>
      <c r="L1126" t="inlineStr">
        <is>
          <t xml:space="preserve">6404191000</t>
        </is>
      </c>
      <c r="M1126" t="inlineStr">
        <is>
          <t xml:space="preserve">Декларация № ЕАЭС № BY/112 11.01. ТР017 122.01 20962, до 19.05.2030</t>
        </is>
      </c>
      <c r="N1126" t="inlineStr">
        <is>
          <t xml:space="preserve">35 × 26 × 9</t>
        </is>
      </c>
      <c r="O1126" t="inlineStr">
        <is>
          <t xml:space="preserve">0,32</t>
        </is>
      </c>
      <c r="P1126" t="inlineStr">
        <is>
          <t xml:space="preserve">4816148181664</t>
        </is>
      </c>
      <c r="Q1126" s="3" t="str">
        <f>HYPERLINK("https://modify.by/img/1245517009/1.webp","фото")</f>
        <v>фото</v>
      </c>
      <c r="R1126" s="3" t="str">
        <f>HYPERLINK("https://modify.by/catalog/tapochki/1245517009/?utm_source=price&amp;utm_medium=xlsx","открыть")</f>
        <v>открыть</v>
      </c>
    </row>
    <row r="1127">
      <c r="A1127" t="inlineStr">
        <is>
          <t xml:space="preserve">Мужской</t>
        </is>
      </c>
      <c r="B1127" t="inlineStr">
        <is>
          <t xml:space="preserve">Тапочки</t>
        </is>
      </c>
      <c r="C1127" t="inlineStr">
        <is>
          <t xml:space="preserve">Тапочки домашние теплые меховые закрытые с эффектом памяти, черный, арт. T3SL62M05_черный</t>
        </is>
      </c>
      <c r="D1127" t="inlineStr">
        <is>
          <t xml:space="preserve">T3SL62M05_черный</t>
        </is>
      </c>
      <c r="E1127" t="inlineStr">
        <is>
          <t xml:space="preserve">черный</t>
        </is>
      </c>
      <c r="F1127" t="inlineStr">
        <is>
          <t xml:space="preserve">42</t>
        </is>
      </c>
      <c r="G1127">
        <v>35</v>
      </c>
      <c r="H1127" s="2">
        <v>27.0</v>
      </c>
      <c r="I1127" t="inlineStr">
        <is>
          <t xml:space="preserve">экокожа, экомех, EVA</t>
        </is>
      </c>
      <c r="J1127"/>
      <c r="K1127" t="inlineStr">
        <is>
          <t xml:space="preserve">Китай</t>
        </is>
      </c>
      <c r="L1127" t="inlineStr">
        <is>
          <t xml:space="preserve">6404191000</t>
        </is>
      </c>
      <c r="M1127" t="inlineStr">
        <is>
          <t xml:space="preserve">Декларация № ЕАЭС № BY/112 11.01. ТР017 122.01 20962, до 19.05.2030</t>
        </is>
      </c>
      <c r="N1127" t="inlineStr">
        <is>
          <t xml:space="preserve">35 × 26 × 9</t>
        </is>
      </c>
      <c r="O1127" t="inlineStr">
        <is>
          <t xml:space="preserve">0,32</t>
        </is>
      </c>
      <c r="P1127" t="inlineStr">
        <is>
          <t xml:space="preserve">4816148181671</t>
        </is>
      </c>
      <c r="Q1127" s="3" t="str">
        <f>HYPERLINK("https://modify.by/img/1330190922/1.webp","фото")</f>
        <v>фото</v>
      </c>
      <c r="R1127" s="3" t="str">
        <f>HYPERLINK("https://modify.by/catalog/tapochki/1330190922/?utm_source=price&amp;utm_medium=xlsx","открыть")</f>
        <v>открыть</v>
      </c>
    </row>
    <row r="1128">
      <c r="A1128" t="inlineStr">
        <is>
          <t xml:space="preserve">Мужской</t>
        </is>
      </c>
      <c r="B1128" t="inlineStr">
        <is>
          <t xml:space="preserve">Тапочки</t>
        </is>
      </c>
      <c r="C1128" t="inlineStr">
        <is>
          <t xml:space="preserve">Тапочки домашние теплые меховые закрытые с эффектом памяти, черный, арт. T3SL62M05_черный</t>
        </is>
      </c>
      <c r="D1128" t="inlineStr">
        <is>
          <t xml:space="preserve">T3SL62M05_черный</t>
        </is>
      </c>
      <c r="E1128" t="inlineStr">
        <is>
          <t xml:space="preserve">черный</t>
        </is>
      </c>
      <c r="F1128" t="inlineStr">
        <is>
          <t xml:space="preserve">43</t>
        </is>
      </c>
      <c r="G1128">
        <v>38</v>
      </c>
      <c r="H1128" s="2">
        <v>27.0</v>
      </c>
      <c r="I1128" t="inlineStr">
        <is>
          <t xml:space="preserve">экокожа, экомех, EVA</t>
        </is>
      </c>
      <c r="J1128"/>
      <c r="K1128" t="inlineStr">
        <is>
          <t xml:space="preserve">Китай</t>
        </is>
      </c>
      <c r="L1128" t="inlineStr">
        <is>
          <t xml:space="preserve">6404191000</t>
        </is>
      </c>
      <c r="M1128" t="inlineStr">
        <is>
          <t xml:space="preserve">Декларация № ЕАЭС № BY/112 11.01. ТР017 122.01 20962, до 19.05.2030</t>
        </is>
      </c>
      <c r="N1128" t="inlineStr">
        <is>
          <t xml:space="preserve">35 × 26 × 9</t>
        </is>
      </c>
      <c r="O1128" t="inlineStr">
        <is>
          <t xml:space="preserve">0,32</t>
        </is>
      </c>
      <c r="P1128" t="inlineStr">
        <is>
          <t xml:space="preserve">4816148181688</t>
        </is>
      </c>
      <c r="Q1128" s="3" t="str">
        <f>HYPERLINK("https://modify.by/img/1330190922/1.webp","фото")</f>
        <v>фото</v>
      </c>
      <c r="R1128" s="3" t="str">
        <f>HYPERLINK("https://modify.by/catalog/tapochki/1330190922/?utm_source=price&amp;utm_medium=xlsx","открыть")</f>
        <v>открыть</v>
      </c>
    </row>
    <row r="1129">
      <c r="A1129" t="inlineStr">
        <is>
          <t xml:space="preserve">Мужской</t>
        </is>
      </c>
      <c r="B1129" t="inlineStr">
        <is>
          <t xml:space="preserve">Тапочки</t>
        </is>
      </c>
      <c r="C1129" t="inlineStr">
        <is>
          <t xml:space="preserve">Тапочки домашние теплые меховые закрытые с эффектом памяти, черный, арт. T3SL62M05_черный</t>
        </is>
      </c>
      <c r="D1129" t="inlineStr">
        <is>
          <t xml:space="preserve">T3SL62M05_черный</t>
        </is>
      </c>
      <c r="E1129" t="inlineStr">
        <is>
          <t xml:space="preserve">черный</t>
        </is>
      </c>
      <c r="F1129" t="inlineStr">
        <is>
          <t xml:space="preserve">44</t>
        </is>
      </c>
      <c r="G1129">
        <v>40</v>
      </c>
      <c r="H1129" s="2">
        <v>27.0</v>
      </c>
      <c r="I1129" t="inlineStr">
        <is>
          <t xml:space="preserve">экокожа, экомех, EVA</t>
        </is>
      </c>
      <c r="J1129"/>
      <c r="K1129" t="inlineStr">
        <is>
          <t xml:space="preserve">Китай</t>
        </is>
      </c>
      <c r="L1129" t="inlineStr">
        <is>
          <t xml:space="preserve">6404191000</t>
        </is>
      </c>
      <c r="M1129" t="inlineStr">
        <is>
          <t xml:space="preserve">Декларация № ЕАЭС № BY/112 11.01. ТР017 122.01 20962, до 19.05.2030</t>
        </is>
      </c>
      <c r="N1129" t="inlineStr">
        <is>
          <t xml:space="preserve">35 × 26 × 9</t>
        </is>
      </c>
      <c r="O1129" t="inlineStr">
        <is>
          <t xml:space="preserve">0,32</t>
        </is>
      </c>
      <c r="P1129" t="inlineStr">
        <is>
          <t xml:space="preserve">4816148181695</t>
        </is>
      </c>
      <c r="Q1129" s="3" t="str">
        <f>HYPERLINK("https://modify.by/img/1330190922/1.webp","фото")</f>
        <v>фото</v>
      </c>
      <c r="R1129" s="3" t="str">
        <f>HYPERLINK("https://modify.by/catalog/tapochki/1330190922/?utm_source=price&amp;utm_medium=xlsx","открыть")</f>
        <v>открыть</v>
      </c>
    </row>
    <row r="1130">
      <c r="A1130" t="inlineStr">
        <is>
          <t xml:space="preserve">Мужской</t>
        </is>
      </c>
      <c r="B1130" t="inlineStr">
        <is>
          <t xml:space="preserve">Тапочки</t>
        </is>
      </c>
      <c r="C1130" t="inlineStr">
        <is>
          <t xml:space="preserve">Тапочки домашние теплые меховые закрытые с эффектом памяти, черный, арт. T3SL62M06_черный</t>
        </is>
      </c>
      <c r="D1130" t="inlineStr">
        <is>
          <t xml:space="preserve">T3SL62M06_черный</t>
        </is>
      </c>
      <c r="E1130" t="inlineStr">
        <is>
          <t xml:space="preserve">черный</t>
        </is>
      </c>
      <c r="F1130" t="inlineStr">
        <is>
          <t xml:space="preserve">43</t>
        </is>
      </c>
      <c r="G1130">
        <v>70</v>
      </c>
      <c r="H1130" s="2">
        <v>27.0</v>
      </c>
      <c r="I1130" t="inlineStr">
        <is>
          <t xml:space="preserve">экокожа, мех, ПВХ</t>
        </is>
      </c>
      <c r="J1130" t="inlineStr">
        <is>
          <t xml:space="preserve">демисезон</t>
        </is>
      </c>
      <c r="K1130" t="inlineStr">
        <is>
          <t xml:space="preserve">Китай</t>
        </is>
      </c>
      <c r="L1130" t="inlineStr">
        <is>
          <t xml:space="preserve">6404191000</t>
        </is>
      </c>
      <c r="M1130" t="inlineStr">
        <is>
          <t xml:space="preserve">Декларация № ЕАЭС № BY/112 11.01. ТР017 122.01 20962, до 19.05.2030</t>
        </is>
      </c>
      <c r="N1130" t="inlineStr">
        <is>
          <t xml:space="preserve">35 × 17 × 11</t>
        </is>
      </c>
      <c r="O1130" t="inlineStr">
        <is>
          <t xml:space="preserve">0,33</t>
        </is>
      </c>
      <c r="P1130" t="inlineStr">
        <is>
          <t xml:space="preserve">4816148181732</t>
        </is>
      </c>
      <c r="Q1130" s="3" t="str">
        <f>HYPERLINK("https://modify.by/img/1303209511/1.webp","фото")</f>
        <v>фото</v>
      </c>
      <c r="R1130" s="3" t="str">
        <f>HYPERLINK("https://modify.by/catalog/tapochki/1303209511/?utm_source=price&amp;utm_medium=xlsx","открыть")</f>
        <v>открыть</v>
      </c>
    </row>
    <row r="1131">
      <c r="A1131" t="inlineStr">
        <is>
          <t xml:space="preserve">Мужской</t>
        </is>
      </c>
      <c r="B1131" t="inlineStr">
        <is>
          <t xml:space="preserve">Тапочки</t>
        </is>
      </c>
      <c r="C1131" t="inlineStr">
        <is>
          <t xml:space="preserve">Тапочки домашние теплые меховые закрытые с эффектом памяти, черный, арт. T3SL62M06_черный</t>
        </is>
      </c>
      <c r="D1131" t="inlineStr">
        <is>
          <t xml:space="preserve">T3SL62M06_черный</t>
        </is>
      </c>
      <c r="E1131" t="inlineStr">
        <is>
          <t xml:space="preserve">черный</t>
        </is>
      </c>
      <c r="F1131" t="inlineStr">
        <is>
          <t xml:space="preserve">44</t>
        </is>
      </c>
      <c r="G1131">
        <v>211</v>
      </c>
      <c r="H1131" s="2">
        <v>27.0</v>
      </c>
      <c r="I1131" t="inlineStr">
        <is>
          <t xml:space="preserve">экокожа, мех, ПВХ</t>
        </is>
      </c>
      <c r="J1131" t="inlineStr">
        <is>
          <t xml:space="preserve">демисезон</t>
        </is>
      </c>
      <c r="K1131" t="inlineStr">
        <is>
          <t xml:space="preserve">Китай</t>
        </is>
      </c>
      <c r="L1131" t="inlineStr">
        <is>
          <t xml:space="preserve">6404191000</t>
        </is>
      </c>
      <c r="M1131" t="inlineStr">
        <is>
          <t xml:space="preserve">Декларация № ЕАЭС № BY/112 11.01. ТР017 122.01 20962, до 19.05.2030</t>
        </is>
      </c>
      <c r="N1131" t="inlineStr">
        <is>
          <t xml:space="preserve">35 × 17 × 11</t>
        </is>
      </c>
      <c r="O1131" t="inlineStr">
        <is>
          <t xml:space="preserve">0,33</t>
        </is>
      </c>
      <c r="P1131" t="inlineStr">
        <is>
          <t xml:space="preserve">4816148181749</t>
        </is>
      </c>
      <c r="Q1131" s="3" t="str">
        <f>HYPERLINK("https://modify.by/img/1303209511/1.webp","фото")</f>
        <v>фото</v>
      </c>
      <c r="R1131" s="3" t="str">
        <f>HYPERLINK("https://modify.by/catalog/tapochki/1303209511/?utm_source=price&amp;utm_medium=xlsx","открыть")</f>
        <v>открыть</v>
      </c>
    </row>
    <row r="1132">
      <c r="A1132" t="inlineStr">
        <is>
          <t xml:space="preserve">Мужской</t>
        </is>
      </c>
      <c r="B1132" t="inlineStr">
        <is>
          <t xml:space="preserve">Тапочки</t>
        </is>
      </c>
      <c r="C1132" t="inlineStr">
        <is>
          <t xml:space="preserve">Тапочки домашние теплые меховые закрытые с эффектом памяти, черный, арт. T3SL62M06_черный</t>
        </is>
      </c>
      <c r="D1132" t="inlineStr">
        <is>
          <t xml:space="preserve">T3SL62M06_черный</t>
        </is>
      </c>
      <c r="E1132" t="inlineStr">
        <is>
          <t xml:space="preserve">черный</t>
        </is>
      </c>
      <c r="F1132" t="inlineStr">
        <is>
          <t xml:space="preserve">45</t>
        </is>
      </c>
      <c r="G1132">
        <v>130</v>
      </c>
      <c r="H1132" s="2">
        <v>27.0</v>
      </c>
      <c r="I1132" t="inlineStr">
        <is>
          <t xml:space="preserve">экокожа, мех, ПВХ</t>
        </is>
      </c>
      <c r="J1132" t="inlineStr">
        <is>
          <t xml:space="preserve">демисезон</t>
        </is>
      </c>
      <c r="K1132" t="inlineStr">
        <is>
          <t xml:space="preserve">Китай</t>
        </is>
      </c>
      <c r="L1132" t="inlineStr">
        <is>
          <t xml:space="preserve">6404191000</t>
        </is>
      </c>
      <c r="M1132" t="inlineStr">
        <is>
          <t xml:space="preserve">Декларация № ЕАЭС № BY/112 11.01. ТР017 122.01 20962, до 19.05.2030</t>
        </is>
      </c>
      <c r="N1132" t="inlineStr">
        <is>
          <t xml:space="preserve">35 × 17 × 11</t>
        </is>
      </c>
      <c r="O1132" t="inlineStr">
        <is>
          <t xml:space="preserve">0,33</t>
        </is>
      </c>
      <c r="P1132" t="inlineStr">
        <is>
          <t xml:space="preserve">4816148181756</t>
        </is>
      </c>
      <c r="Q1132" s="3" t="str">
        <f>HYPERLINK("https://modify.by/img/1303209511/1.webp","фото")</f>
        <v>фото</v>
      </c>
      <c r="R1132" s="3" t="str">
        <f>HYPERLINK("https://modify.by/catalog/tapochki/1303209511/?utm_source=price&amp;utm_medium=xlsx","открыть")</f>
        <v>открыть</v>
      </c>
    </row>
    <row r="1133">
      <c r="A1133" t="inlineStr">
        <is>
          <t xml:space="preserve">Мужской</t>
        </is>
      </c>
      <c r="B1133" t="inlineStr">
        <is>
          <t xml:space="preserve">Тапочки</t>
        </is>
      </c>
      <c r="C1133" t="inlineStr">
        <is>
          <t xml:space="preserve">Тапочки домашние теплые с мехом закрытые с эффектом памяти, кофейный</t>
        </is>
      </c>
      <c r="D1133" t="inlineStr">
        <is>
          <t xml:space="preserve">T3SL62M07_коричневый</t>
        </is>
      </c>
      <c r="E1133" t="inlineStr">
        <is>
          <t xml:space="preserve">кофейный, кофе с молоком</t>
        </is>
      </c>
      <c r="F1133" t="inlineStr">
        <is>
          <t xml:space="preserve">40-41</t>
        </is>
      </c>
      <c r="G1133">
        <v>78</v>
      </c>
      <c r="H1133" s="2">
        <v>23.0</v>
      </c>
      <c r="I1133" t="inlineStr">
        <is>
          <t xml:space="preserve">полиэфирное волокно</t>
        </is>
      </c>
      <c r="J1133" t="inlineStr">
        <is>
          <t xml:space="preserve">круглогодичный</t>
        </is>
      </c>
      <c r="K1133" t="inlineStr">
        <is>
          <t xml:space="preserve">Китай</t>
        </is>
      </c>
      <c r="L1133" t="inlineStr">
        <is>
          <t xml:space="preserve">6404191000</t>
        </is>
      </c>
      <c r="M1133" t="inlineStr">
        <is>
          <t xml:space="preserve">Декларация № ЕАЭС № BY/112 11.01. ТР017 122.01 20962, до 19.05.2030</t>
        </is>
      </c>
      <c r="N1133" t="inlineStr">
        <is>
          <t xml:space="preserve">32 × 15 × 9</t>
        </is>
      </c>
      <c r="O1133" t="inlineStr">
        <is>
          <t xml:space="preserve">0,38</t>
        </is>
      </c>
      <c r="P1133" t="inlineStr">
        <is>
          <t xml:space="preserve">4816148181763</t>
        </is>
      </c>
      <c r="Q1133" s="3" t="str">
        <f>HYPERLINK("https://modify.by/img/1332934786/1.webp","фото")</f>
        <v>фото</v>
      </c>
      <c r="R1133" s="3" t="str">
        <f>HYPERLINK("https://modify.by/catalog/tapochki/1332934786/?utm_source=price&amp;utm_medium=xlsx","открыть")</f>
        <v>открыть</v>
      </c>
    </row>
    <row r="1134">
      <c r="A1134" t="inlineStr">
        <is>
          <t xml:space="preserve">Мужской</t>
        </is>
      </c>
      <c r="B1134" t="inlineStr">
        <is>
          <t xml:space="preserve">Тапочки</t>
        </is>
      </c>
      <c r="C1134" t="inlineStr">
        <is>
          <t xml:space="preserve">Тапочки домашние теплые с мехом закрытые с эффектом памяти, кофейный</t>
        </is>
      </c>
      <c r="D1134" t="inlineStr">
        <is>
          <t xml:space="preserve">T3SL62M07_коричневый</t>
        </is>
      </c>
      <c r="E1134" t="inlineStr">
        <is>
          <t xml:space="preserve">кофейный, кофе с молоком</t>
        </is>
      </c>
      <c r="F1134" t="inlineStr">
        <is>
          <t xml:space="preserve">42-43</t>
        </is>
      </c>
      <c r="G1134">
        <v>214</v>
      </c>
      <c r="H1134" s="2">
        <v>23.0</v>
      </c>
      <c r="I1134" t="inlineStr">
        <is>
          <t xml:space="preserve">полиэфирное волокно</t>
        </is>
      </c>
      <c r="J1134" t="inlineStr">
        <is>
          <t xml:space="preserve">круглогодичный</t>
        </is>
      </c>
      <c r="K1134" t="inlineStr">
        <is>
          <t xml:space="preserve">Китай</t>
        </is>
      </c>
      <c r="L1134" t="inlineStr">
        <is>
          <t xml:space="preserve">6404191000</t>
        </is>
      </c>
      <c r="M1134" t="inlineStr">
        <is>
          <t xml:space="preserve">Декларация № ЕАЭС № BY/112 11.01. ТР017 122.01 20962, до 19.05.2030</t>
        </is>
      </c>
      <c r="N1134" t="inlineStr">
        <is>
          <t xml:space="preserve">32 × 15 × 9</t>
        </is>
      </c>
      <c r="O1134" t="inlineStr">
        <is>
          <t xml:space="preserve">0,38</t>
        </is>
      </c>
      <c r="P1134" t="inlineStr">
        <is>
          <t xml:space="preserve">4816148181770</t>
        </is>
      </c>
      <c r="Q1134" s="3" t="str">
        <f>HYPERLINK("https://modify.by/img/1332934786/1.webp","фото")</f>
        <v>фото</v>
      </c>
      <c r="R1134" s="3" t="str">
        <f>HYPERLINK("https://modify.by/catalog/tapochki/1332934786/?utm_source=price&amp;utm_medium=xlsx","открыть")</f>
        <v>открыть</v>
      </c>
    </row>
    <row r="1135">
      <c r="A1135" t="inlineStr">
        <is>
          <t xml:space="preserve">Мужской</t>
        </is>
      </c>
      <c r="B1135" t="inlineStr">
        <is>
          <t xml:space="preserve">Тапочки</t>
        </is>
      </c>
      <c r="C1135" t="inlineStr">
        <is>
          <t xml:space="preserve">Тапочки домашние теплые с мехом закрытые с эффектом памяти, кофейный</t>
        </is>
      </c>
      <c r="D1135" t="inlineStr">
        <is>
          <t xml:space="preserve">T3SL62M07_коричневый</t>
        </is>
      </c>
      <c r="E1135" t="inlineStr">
        <is>
          <t xml:space="preserve">кофейный, кофе с молоком</t>
        </is>
      </c>
      <c r="F1135" t="inlineStr">
        <is>
          <t xml:space="preserve">44-45</t>
        </is>
      </c>
      <c r="G1135">
        <v>208</v>
      </c>
      <c r="H1135" s="2">
        <v>23.0</v>
      </c>
      <c r="I1135" t="inlineStr">
        <is>
          <t xml:space="preserve">полиэфирное волокно</t>
        </is>
      </c>
      <c r="J1135" t="inlineStr">
        <is>
          <t xml:space="preserve">круглогодичный</t>
        </is>
      </c>
      <c r="K1135" t="inlineStr">
        <is>
          <t xml:space="preserve">Китай</t>
        </is>
      </c>
      <c r="L1135" t="inlineStr">
        <is>
          <t xml:space="preserve">6404191000</t>
        </is>
      </c>
      <c r="M1135" t="inlineStr">
        <is>
          <t xml:space="preserve">Декларация № ЕАЭС № BY/112 11.01. ТР017 122.01 20962, до 19.05.2030</t>
        </is>
      </c>
      <c r="N1135" t="inlineStr">
        <is>
          <t xml:space="preserve">32 × 15 × 9</t>
        </is>
      </c>
      <c r="O1135" t="inlineStr">
        <is>
          <t xml:space="preserve">0,38</t>
        </is>
      </c>
      <c r="P1135" t="inlineStr">
        <is>
          <t xml:space="preserve">4816148181787</t>
        </is>
      </c>
      <c r="Q1135" s="3" t="str">
        <f>HYPERLINK("https://modify.by/img/1332934786/1.webp","фото")</f>
        <v>фото</v>
      </c>
      <c r="R1135" s="3" t="str">
        <f>HYPERLINK("https://modify.by/catalog/tapochki/1332934786/?utm_source=price&amp;utm_medium=xlsx","открыть")</f>
        <v>открыть</v>
      </c>
    </row>
    <row r="1136">
      <c r="A1136" t="inlineStr">
        <is>
          <t xml:space="preserve">Мужской</t>
        </is>
      </c>
      <c r="B1136" t="inlineStr">
        <is>
          <t xml:space="preserve">Тапочки</t>
        </is>
      </c>
      <c r="C1136" t="inlineStr">
        <is>
          <t xml:space="preserve">Тапочки домашние теплые с мехом закрытые с эффектом памяти, серый</t>
        </is>
      </c>
      <c r="D1136" t="inlineStr">
        <is>
          <t xml:space="preserve">T3SL62M07_серый</t>
        </is>
      </c>
      <c r="E1136" t="inlineStr">
        <is>
          <t xml:space="preserve">серый</t>
        </is>
      </c>
      <c r="F1136" t="inlineStr">
        <is>
          <t xml:space="preserve">40-41</t>
        </is>
      </c>
      <c r="G1136">
        <v>78</v>
      </c>
      <c r="H1136" s="2">
        <v>23.0</v>
      </c>
      <c r="I1136" t="inlineStr">
        <is>
          <t xml:space="preserve">полиэфирное волокно</t>
        </is>
      </c>
      <c r="J1136" t="inlineStr">
        <is>
          <t xml:space="preserve">круглогодичный</t>
        </is>
      </c>
      <c r="K1136" t="inlineStr">
        <is>
          <t xml:space="preserve">Китай</t>
        </is>
      </c>
      <c r="L1136" t="inlineStr">
        <is>
          <t xml:space="preserve">6404191000</t>
        </is>
      </c>
      <c r="M1136" t="inlineStr">
        <is>
          <t xml:space="preserve">Декларация № ЕАЭС № BY/112 11.01. ТР017 122.01 20962, до 19.05.2030</t>
        </is>
      </c>
      <c r="N1136" t="inlineStr">
        <is>
          <t xml:space="preserve">32 × 15 × 9</t>
        </is>
      </c>
      <c r="O1136" t="inlineStr">
        <is>
          <t xml:space="preserve">0,38</t>
        </is>
      </c>
      <c r="P1136" t="inlineStr">
        <is>
          <t xml:space="preserve">4816148181794</t>
        </is>
      </c>
      <c r="Q1136" s="3" t="str">
        <f>HYPERLINK("https://modify.by/img/1437177054/1.webp","фото")</f>
        <v>фото</v>
      </c>
      <c r="R1136" s="3" t="str">
        <f>HYPERLINK("https://modify.by/catalog/tapochki/1437177054/?utm_source=price&amp;utm_medium=xlsx","открыть")</f>
        <v>открыть</v>
      </c>
    </row>
    <row r="1137">
      <c r="A1137" t="inlineStr">
        <is>
          <t xml:space="preserve">Мужской</t>
        </is>
      </c>
      <c r="B1137" t="inlineStr">
        <is>
          <t xml:space="preserve">Тапочки</t>
        </is>
      </c>
      <c r="C1137" t="inlineStr">
        <is>
          <t xml:space="preserve">Тапочки домашние теплые с мехом закрытые с эффектом памяти, серый</t>
        </is>
      </c>
      <c r="D1137" t="inlineStr">
        <is>
          <t xml:space="preserve">T3SL62M07_серый</t>
        </is>
      </c>
      <c r="E1137" t="inlineStr">
        <is>
          <t xml:space="preserve">серый</t>
        </is>
      </c>
      <c r="F1137" t="inlineStr">
        <is>
          <t xml:space="preserve">42-43</t>
        </is>
      </c>
      <c r="G1137">
        <v>117</v>
      </c>
      <c r="H1137" s="2">
        <v>23.0</v>
      </c>
      <c r="I1137" t="inlineStr">
        <is>
          <t xml:space="preserve">полиэфирное волокно</t>
        </is>
      </c>
      <c r="J1137" t="inlineStr">
        <is>
          <t xml:space="preserve">круглогодичный</t>
        </is>
      </c>
      <c r="K1137" t="inlineStr">
        <is>
          <t xml:space="preserve">Китай</t>
        </is>
      </c>
      <c r="L1137" t="inlineStr">
        <is>
          <t xml:space="preserve">6404191000</t>
        </is>
      </c>
      <c r="M1137" t="inlineStr">
        <is>
          <t xml:space="preserve">Декларация № ЕАЭС № BY/112 11.01. ТР017 122.01 20962, до 19.05.2030</t>
        </is>
      </c>
      <c r="N1137" t="inlineStr">
        <is>
          <t xml:space="preserve">32 × 15 × 9</t>
        </is>
      </c>
      <c r="O1137" t="inlineStr">
        <is>
          <t xml:space="preserve">0,38</t>
        </is>
      </c>
      <c r="P1137" t="inlineStr">
        <is>
          <t xml:space="preserve">4816148181800</t>
        </is>
      </c>
      <c r="Q1137" s="3" t="str">
        <f>HYPERLINK("https://modify.by/img/1437177054/1.webp","фото")</f>
        <v>фото</v>
      </c>
      <c r="R1137" s="3" t="str">
        <f>HYPERLINK("https://modify.by/catalog/tapochki/1437177054/?utm_source=price&amp;utm_medium=xlsx","открыть")</f>
        <v>открыть</v>
      </c>
    </row>
    <row r="1138">
      <c r="A1138" t="inlineStr">
        <is>
          <t xml:space="preserve">Мужской</t>
        </is>
      </c>
      <c r="B1138" t="inlineStr">
        <is>
          <t xml:space="preserve">Тапочки</t>
        </is>
      </c>
      <c r="C1138" t="inlineStr">
        <is>
          <t xml:space="preserve">Тапочки домашние теплые с мехом закрытые с эффектом памяти, серый</t>
        </is>
      </c>
      <c r="D1138" t="inlineStr">
        <is>
          <t xml:space="preserve">T3SL62M07_серый</t>
        </is>
      </c>
      <c r="E1138" t="inlineStr">
        <is>
          <t xml:space="preserve">серый</t>
        </is>
      </c>
      <c r="F1138" t="inlineStr">
        <is>
          <t xml:space="preserve">44-45</t>
        </is>
      </c>
      <c r="G1138">
        <v>212</v>
      </c>
      <c r="H1138" s="2">
        <v>23.0</v>
      </c>
      <c r="I1138" t="inlineStr">
        <is>
          <t xml:space="preserve">полиэфирное волокно</t>
        </is>
      </c>
      <c r="J1138" t="inlineStr">
        <is>
          <t xml:space="preserve">круглогодичный</t>
        </is>
      </c>
      <c r="K1138" t="inlineStr">
        <is>
          <t xml:space="preserve">Китай</t>
        </is>
      </c>
      <c r="L1138" t="inlineStr">
        <is>
          <t xml:space="preserve">6404191000</t>
        </is>
      </c>
      <c r="M1138" t="inlineStr">
        <is>
          <t xml:space="preserve">Декларация № ЕАЭС № BY/112 11.01. ТР017 122.01 20962, до 19.05.2030</t>
        </is>
      </c>
      <c r="N1138" t="inlineStr">
        <is>
          <t xml:space="preserve">32 × 15 × 9</t>
        </is>
      </c>
      <c r="O1138" t="inlineStr">
        <is>
          <t xml:space="preserve">0,38</t>
        </is>
      </c>
      <c r="P1138" t="inlineStr">
        <is>
          <t xml:space="preserve">4816148181817</t>
        </is>
      </c>
      <c r="Q1138" s="3" t="str">
        <f>HYPERLINK("https://modify.by/img/1437177054/1.webp","фото")</f>
        <v>фото</v>
      </c>
      <c r="R1138" s="3" t="str">
        <f>HYPERLINK("https://modify.by/catalog/tapochki/1437177054/?utm_source=price&amp;utm_medium=xlsx","открыть")</f>
        <v>открыть</v>
      </c>
    </row>
    <row r="1139">
      <c r="A1139" t="inlineStr">
        <is>
          <t xml:space="preserve">Мужской</t>
        </is>
      </c>
      <c r="B1139" t="inlineStr">
        <is>
          <t xml:space="preserve">Толстовки</t>
        </is>
      </c>
      <c r="C1139" t="inlineStr">
        <is>
          <t xml:space="preserve">Толстовка олимпийка белая на молнии хлопок</t>
        </is>
      </c>
      <c r="D1139" t="inlineStr">
        <is>
          <t xml:space="preserve">HO62M01белый</t>
        </is>
      </c>
      <c r="E1139" t="inlineStr">
        <is>
          <t xml:space="preserve">белый</t>
        </is>
      </c>
      <c r="F1139" t="inlineStr">
        <is>
          <t xml:space="preserve">44-46</t>
        </is>
      </c>
      <c r="G1139">
        <v>3</v>
      </c>
      <c r="H1139" s="2">
        <v>44.0</v>
      </c>
      <c r="I1139" t="inlineStr">
        <is>
          <t xml:space="preserve">80% хлопок, 20% полиэфирные волокна</t>
        </is>
      </c>
      <c r="J1139"/>
      <c r="K1139" t="inlineStr">
        <is>
          <t xml:space="preserve">Бангладеш</t>
        </is>
      </c>
      <c r="L1139" t="inlineStr">
        <is>
          <t xml:space="preserve">6110209100</t>
        </is>
      </c>
      <c r="M1139" t="inlineStr">
        <is>
          <t xml:space="preserve">Декларация № ЕАЭС № BY/112 11.01. ТР017 122.01 08246, до 19.04.2028</t>
        </is>
      </c>
      <c r="N1139" t="inlineStr">
        <is>
          <t xml:space="preserve">39 × 30 × 5</t>
        </is>
      </c>
      <c r="O1139" t="inlineStr">
        <is>
          <t xml:space="preserve">0,69</t>
        </is>
      </c>
      <c r="P1139" t="inlineStr">
        <is>
          <t xml:space="preserve">4816148180155</t>
        </is>
      </c>
      <c r="Q1139" s="3" t="str">
        <f>HYPERLINK("https://modify.by/img/880062415/1.webp","фото")</f>
        <v>фото</v>
      </c>
      <c r="R1139" s="3" t="str">
        <f>HYPERLINK("https://modify.by/catalog/tolstovki/880062415/?utm_source=price&amp;utm_medium=xlsx","открыть")</f>
        <v>открыть</v>
      </c>
    </row>
    <row r="1140">
      <c r="A1140" t="inlineStr">
        <is>
          <t xml:space="preserve">Мужской</t>
        </is>
      </c>
      <c r="B1140" t="inlineStr">
        <is>
          <t xml:space="preserve">Толстовки</t>
        </is>
      </c>
      <c r="C1140" t="inlineStr">
        <is>
          <t xml:space="preserve">Толстовка олимпийка белая на молнии хлопок</t>
        </is>
      </c>
      <c r="D1140" t="inlineStr">
        <is>
          <t xml:space="preserve">HO62M01белый</t>
        </is>
      </c>
      <c r="E1140" t="inlineStr">
        <is>
          <t xml:space="preserve">белый</t>
        </is>
      </c>
      <c r="F1140" t="inlineStr">
        <is>
          <t xml:space="preserve">46-48</t>
        </is>
      </c>
      <c r="G1140">
        <v>10</v>
      </c>
      <c r="H1140" s="2">
        <v>44.0</v>
      </c>
      <c r="I1140" t="inlineStr">
        <is>
          <t xml:space="preserve">80% хлопок, 20% полиэфирные волокна</t>
        </is>
      </c>
      <c r="J1140"/>
      <c r="K1140" t="inlineStr">
        <is>
          <t xml:space="preserve">Бангладеш</t>
        </is>
      </c>
      <c r="L1140" t="inlineStr">
        <is>
          <t xml:space="preserve">6110209100</t>
        </is>
      </c>
      <c r="M1140" t="inlineStr">
        <is>
          <t xml:space="preserve">Декларация № ЕАЭС № BY/112 11.01. ТР017 122.01 08246, до 19.04.2028</t>
        </is>
      </c>
      <c r="N1140" t="inlineStr">
        <is>
          <t xml:space="preserve">39 × 30 × 5</t>
        </is>
      </c>
      <c r="O1140" t="inlineStr">
        <is>
          <t xml:space="preserve">0,69</t>
        </is>
      </c>
      <c r="P1140" t="inlineStr">
        <is>
          <t xml:space="preserve">4816148180162</t>
        </is>
      </c>
      <c r="Q1140" s="3" t="str">
        <f>HYPERLINK("https://modify.by/img/880062415/1.webp","фото")</f>
        <v>фото</v>
      </c>
      <c r="R1140" s="3" t="str">
        <f>HYPERLINK("https://modify.by/catalog/tolstovki/880062415/?utm_source=price&amp;utm_medium=xlsx","открыть")</f>
        <v>открыть</v>
      </c>
    </row>
    <row r="1141">
      <c r="A1141" t="inlineStr">
        <is>
          <t xml:space="preserve">Мужской</t>
        </is>
      </c>
      <c r="B1141" t="inlineStr">
        <is>
          <t xml:space="preserve">Толстовки</t>
        </is>
      </c>
      <c r="C1141" t="inlineStr">
        <is>
          <t xml:space="preserve">Толстовка олимпийка белая на молнии хлопок</t>
        </is>
      </c>
      <c r="D1141" t="inlineStr">
        <is>
          <t xml:space="preserve">HO62M01белый</t>
        </is>
      </c>
      <c r="E1141" t="inlineStr">
        <is>
          <t xml:space="preserve">белый</t>
        </is>
      </c>
      <c r="F1141" t="inlineStr">
        <is>
          <t xml:space="preserve">48-50</t>
        </is>
      </c>
      <c r="G1141">
        <v>38</v>
      </c>
      <c r="H1141" s="2">
        <v>44.0</v>
      </c>
      <c r="I1141" t="inlineStr">
        <is>
          <t xml:space="preserve">80% хлопок, 20% полиэфирные волокна</t>
        </is>
      </c>
      <c r="J1141"/>
      <c r="K1141" t="inlineStr">
        <is>
          <t xml:space="preserve">Бангладеш</t>
        </is>
      </c>
      <c r="L1141" t="inlineStr">
        <is>
          <t xml:space="preserve">6110209100</t>
        </is>
      </c>
      <c r="M1141" t="inlineStr">
        <is>
          <t xml:space="preserve">Декларация № ЕАЭС № BY/112 11.01. ТР017 122.01 08246, до 19.04.2028</t>
        </is>
      </c>
      <c r="N1141" t="inlineStr">
        <is>
          <t xml:space="preserve">39 × 30 × 5</t>
        </is>
      </c>
      <c r="O1141" t="inlineStr">
        <is>
          <t xml:space="preserve">0,69</t>
        </is>
      </c>
      <c r="P1141" t="inlineStr">
        <is>
          <t xml:space="preserve">4816148180179</t>
        </is>
      </c>
      <c r="Q1141" s="3" t="str">
        <f>HYPERLINK("https://modify.by/img/880062415/1.webp","фото")</f>
        <v>фото</v>
      </c>
      <c r="R1141" s="3" t="str">
        <f>HYPERLINK("https://modify.by/catalog/tolstovki/880062415/?utm_source=price&amp;utm_medium=xlsx","открыть")</f>
        <v>открыть</v>
      </c>
    </row>
    <row r="1142">
      <c r="A1142" t="inlineStr">
        <is>
          <t xml:space="preserve">Мужской</t>
        </is>
      </c>
      <c r="B1142" t="inlineStr">
        <is>
          <t xml:space="preserve">Толстовки</t>
        </is>
      </c>
      <c r="C1142" t="inlineStr">
        <is>
          <t xml:space="preserve">Толстовка олимпийка белая на молнии хлопок</t>
        </is>
      </c>
      <c r="D1142" t="inlineStr">
        <is>
          <t xml:space="preserve">HO62M01белый</t>
        </is>
      </c>
      <c r="E1142" t="inlineStr">
        <is>
          <t xml:space="preserve">белый</t>
        </is>
      </c>
      <c r="F1142" t="inlineStr">
        <is>
          <t xml:space="preserve">50-52</t>
        </is>
      </c>
      <c r="G1142">
        <v>5</v>
      </c>
      <c r="H1142" s="2">
        <v>44.0</v>
      </c>
      <c r="I1142" t="inlineStr">
        <is>
          <t xml:space="preserve">80% хлопок, 20% полиэфирные волокна</t>
        </is>
      </c>
      <c r="J1142"/>
      <c r="K1142" t="inlineStr">
        <is>
          <t xml:space="preserve">Бангладеш</t>
        </is>
      </c>
      <c r="L1142" t="inlineStr">
        <is>
          <t xml:space="preserve">6110209100</t>
        </is>
      </c>
      <c r="M1142" t="inlineStr">
        <is>
          <t xml:space="preserve">Декларация № ЕАЭС № BY/112 11.01. ТР017 122.01 08246, до 19.04.2028</t>
        </is>
      </c>
      <c r="N1142" t="inlineStr">
        <is>
          <t xml:space="preserve">39 × 30 × 5</t>
        </is>
      </c>
      <c r="O1142" t="inlineStr">
        <is>
          <t xml:space="preserve">0,69</t>
        </is>
      </c>
      <c r="P1142" t="inlineStr">
        <is>
          <t xml:space="preserve">4816148180186</t>
        </is>
      </c>
      <c r="Q1142" s="3" t="str">
        <f>HYPERLINK("https://modify.by/img/880062415/1.webp","фото")</f>
        <v>фото</v>
      </c>
      <c r="R1142" s="3" t="str">
        <f>HYPERLINK("https://modify.by/catalog/tolstovki/880062415/?utm_source=price&amp;utm_medium=xlsx","открыть")</f>
        <v>открыть</v>
      </c>
    </row>
    <row r="1143">
      <c r="A1143" t="inlineStr">
        <is>
          <t xml:space="preserve">Мужской</t>
        </is>
      </c>
      <c r="B1143" t="inlineStr">
        <is>
          <t xml:space="preserve">Толстовки</t>
        </is>
      </c>
      <c r="C1143" t="inlineStr">
        <is>
          <t xml:space="preserve">Толстовка олимпийка белая на молнии хлопок</t>
        </is>
      </c>
      <c r="D1143" t="inlineStr">
        <is>
          <t xml:space="preserve">HO62M01белый</t>
        </is>
      </c>
      <c r="E1143" t="inlineStr">
        <is>
          <t xml:space="preserve">белый</t>
        </is>
      </c>
      <c r="F1143" t="inlineStr">
        <is>
          <t xml:space="preserve">52-54</t>
        </is>
      </c>
      <c r="G1143">
        <v>5</v>
      </c>
      <c r="H1143" s="2">
        <v>44.0</v>
      </c>
      <c r="I1143" t="inlineStr">
        <is>
          <t xml:space="preserve">80% хлопок, 20% полиэфирные волокна</t>
        </is>
      </c>
      <c r="J1143"/>
      <c r="K1143" t="inlineStr">
        <is>
          <t xml:space="preserve">Бангладеш</t>
        </is>
      </c>
      <c r="L1143" t="inlineStr">
        <is>
          <t xml:space="preserve">6110209100</t>
        </is>
      </c>
      <c r="M1143" t="inlineStr">
        <is>
          <t xml:space="preserve">Декларация № ЕАЭС № BY/112 11.01. ТР017 122.01 08246, до 19.04.2028</t>
        </is>
      </c>
      <c r="N1143" t="inlineStr">
        <is>
          <t xml:space="preserve">39 × 30 × 5</t>
        </is>
      </c>
      <c r="O1143" t="inlineStr">
        <is>
          <t xml:space="preserve">0,69</t>
        </is>
      </c>
      <c r="P1143" t="inlineStr">
        <is>
          <t xml:space="preserve">4816148180193</t>
        </is>
      </c>
      <c r="Q1143" s="3" t="str">
        <f>HYPERLINK("https://modify.by/img/880062415/1.webp","фото")</f>
        <v>фото</v>
      </c>
      <c r="R1143" s="3" t="str">
        <f>HYPERLINK("https://modify.by/catalog/tolstovki/880062415/?utm_source=price&amp;utm_medium=xlsx","открыть")</f>
        <v>открыть</v>
      </c>
    </row>
    <row r="1144">
      <c r="A1144" t="inlineStr">
        <is>
          <t xml:space="preserve">Мужской</t>
        </is>
      </c>
      <c r="B1144" t="inlineStr">
        <is>
          <t xml:space="preserve">Толстовки</t>
        </is>
      </c>
      <c r="C1144" t="inlineStr">
        <is>
          <t xml:space="preserve">Толстовка олимпийка на молнии теплая</t>
        </is>
      </c>
      <c r="D1144" t="inlineStr">
        <is>
          <t xml:space="preserve">HO62M01васильковый</t>
        </is>
      </c>
      <c r="E1144" t="inlineStr">
        <is>
          <t xml:space="preserve">васильковый</t>
        </is>
      </c>
      <c r="F1144" t="inlineStr">
        <is>
          <t xml:space="preserve">42-44</t>
        </is>
      </c>
      <c r="G1144">
        <v>23</v>
      </c>
      <c r="H1144" s="2">
        <v>44.0</v>
      </c>
      <c r="I1144" t="inlineStr">
        <is>
          <t xml:space="preserve">80% хлопок, 20% полиэфирные волокна</t>
        </is>
      </c>
      <c r="J1144"/>
      <c r="K1144" t="inlineStr">
        <is>
          <t xml:space="preserve">Бангладеш</t>
        </is>
      </c>
      <c r="L1144" t="inlineStr">
        <is>
          <t xml:space="preserve">6110209100</t>
        </is>
      </c>
      <c r="M1144" t="inlineStr">
        <is>
          <t xml:space="preserve">Декларация № ЕАЭС № BY/112 11.01. ТР017 122.01 08246, до 19.04.2028</t>
        </is>
      </c>
      <c r="N1144" t="inlineStr">
        <is>
          <t xml:space="preserve">39 × 30 × 5</t>
        </is>
      </c>
      <c r="O1144" t="inlineStr">
        <is>
          <t xml:space="preserve">0,69</t>
        </is>
      </c>
      <c r="P1144" t="inlineStr">
        <is>
          <t xml:space="preserve">4816148180223</t>
        </is>
      </c>
      <c r="Q1144" s="3" t="str">
        <f>HYPERLINK("https://modify.by/img/880112922/1.webp","фото")</f>
        <v>фото</v>
      </c>
      <c r="R1144" s="3" t="str">
        <f>HYPERLINK("https://modify.by/catalog/tolstovki/880112922/?utm_source=price&amp;utm_medium=xlsx","открыть")</f>
        <v>открыть</v>
      </c>
    </row>
    <row r="1145">
      <c r="A1145" t="inlineStr">
        <is>
          <t xml:space="preserve">Мужской</t>
        </is>
      </c>
      <c r="B1145" t="inlineStr">
        <is>
          <t xml:space="preserve">Толстовки</t>
        </is>
      </c>
      <c r="C1145" t="inlineStr">
        <is>
          <t xml:space="preserve">Толстовка олимпийка на молнии теплая</t>
        </is>
      </c>
      <c r="D1145" t="inlineStr">
        <is>
          <t xml:space="preserve">HO62M01васильковый</t>
        </is>
      </c>
      <c r="E1145" t="inlineStr">
        <is>
          <t xml:space="preserve">васильковый</t>
        </is>
      </c>
      <c r="F1145" t="inlineStr">
        <is>
          <t xml:space="preserve">44-46</t>
        </is>
      </c>
      <c r="G1145">
        <v>45</v>
      </c>
      <c r="H1145" s="2">
        <v>44.0</v>
      </c>
      <c r="I1145" t="inlineStr">
        <is>
          <t xml:space="preserve">80% хлопок, 20% полиэфирные волокна</t>
        </is>
      </c>
      <c r="J1145"/>
      <c r="K1145" t="inlineStr">
        <is>
          <t xml:space="preserve">Бангладеш</t>
        </is>
      </c>
      <c r="L1145" t="inlineStr">
        <is>
          <t xml:space="preserve">6110209100</t>
        </is>
      </c>
      <c r="M1145" t="inlineStr">
        <is>
          <t xml:space="preserve">Декларация № ЕАЭС № BY/112 11.01. ТР017 122.01 08246, до 19.04.2028</t>
        </is>
      </c>
      <c r="N1145" t="inlineStr">
        <is>
          <t xml:space="preserve">39 × 30 × 5</t>
        </is>
      </c>
      <c r="O1145" t="inlineStr">
        <is>
          <t xml:space="preserve">0,69</t>
        </is>
      </c>
      <c r="P1145" t="inlineStr">
        <is>
          <t xml:space="preserve">4816148180230</t>
        </is>
      </c>
      <c r="Q1145" s="3" t="str">
        <f>HYPERLINK("https://modify.by/img/880112922/1.webp","фото")</f>
        <v>фото</v>
      </c>
      <c r="R1145" s="3" t="str">
        <f>HYPERLINK("https://modify.by/catalog/tolstovki/880112922/?utm_source=price&amp;utm_medium=xlsx","открыть")</f>
        <v>открыть</v>
      </c>
    </row>
    <row r="1146">
      <c r="A1146" t="inlineStr">
        <is>
          <t xml:space="preserve">Мужской</t>
        </is>
      </c>
      <c r="B1146" t="inlineStr">
        <is>
          <t xml:space="preserve">Толстовки</t>
        </is>
      </c>
      <c r="C1146" t="inlineStr">
        <is>
          <t xml:space="preserve">Толстовка олимпийка на молнии теплая</t>
        </is>
      </c>
      <c r="D1146" t="inlineStr">
        <is>
          <t xml:space="preserve">HO62M01васильковый</t>
        </is>
      </c>
      <c r="E1146" t="inlineStr">
        <is>
          <t xml:space="preserve">васильковый</t>
        </is>
      </c>
      <c r="F1146" t="inlineStr">
        <is>
          <t xml:space="preserve">46-48</t>
        </is>
      </c>
      <c r="G1146">
        <v>41</v>
      </c>
      <c r="H1146" s="2">
        <v>44.0</v>
      </c>
      <c r="I1146" t="inlineStr">
        <is>
          <t xml:space="preserve">80% хлопок, 20% полиэфирные волокна</t>
        </is>
      </c>
      <c r="J1146"/>
      <c r="K1146" t="inlineStr">
        <is>
          <t xml:space="preserve">Бангладеш</t>
        </is>
      </c>
      <c r="L1146" t="inlineStr">
        <is>
          <t xml:space="preserve">6110209100</t>
        </is>
      </c>
      <c r="M1146" t="inlineStr">
        <is>
          <t xml:space="preserve">Декларация № ЕАЭС № BY/112 11.01. ТР017 122.01 08246, до 19.04.2028</t>
        </is>
      </c>
      <c r="N1146" t="inlineStr">
        <is>
          <t xml:space="preserve">39 × 30 × 5</t>
        </is>
      </c>
      <c r="O1146" t="inlineStr">
        <is>
          <t xml:space="preserve">0,69</t>
        </is>
      </c>
      <c r="P1146" t="inlineStr">
        <is>
          <t xml:space="preserve">4816148180247</t>
        </is>
      </c>
      <c r="Q1146" s="3" t="str">
        <f>HYPERLINK("https://modify.by/img/880112922/1.webp","фото")</f>
        <v>фото</v>
      </c>
      <c r="R1146" s="3" t="str">
        <f>HYPERLINK("https://modify.by/catalog/tolstovki/880112922/?utm_source=price&amp;utm_medium=xlsx","открыть")</f>
        <v>открыть</v>
      </c>
    </row>
    <row r="1147">
      <c r="A1147" t="inlineStr">
        <is>
          <t xml:space="preserve">Мужской</t>
        </is>
      </c>
      <c r="B1147" t="inlineStr">
        <is>
          <t xml:space="preserve">Толстовки</t>
        </is>
      </c>
      <c r="C1147" t="inlineStr">
        <is>
          <t xml:space="preserve">Толстовка олимпийка на молнии теплая</t>
        </is>
      </c>
      <c r="D1147" t="inlineStr">
        <is>
          <t xml:space="preserve">HO62M01васильковый</t>
        </is>
      </c>
      <c r="E1147" t="inlineStr">
        <is>
          <t xml:space="preserve">васильковый</t>
        </is>
      </c>
      <c r="F1147" t="inlineStr">
        <is>
          <t xml:space="preserve">48-50</t>
        </is>
      </c>
      <c r="G1147">
        <v>38</v>
      </c>
      <c r="H1147" s="2">
        <v>44.0</v>
      </c>
      <c r="I1147" t="inlineStr">
        <is>
          <t xml:space="preserve">80% хлопок, 20% полиэфирные волокна</t>
        </is>
      </c>
      <c r="J1147"/>
      <c r="K1147" t="inlineStr">
        <is>
          <t xml:space="preserve">Бангладеш</t>
        </is>
      </c>
      <c r="L1147" t="inlineStr">
        <is>
          <t xml:space="preserve">6110209100</t>
        </is>
      </c>
      <c r="M1147" t="inlineStr">
        <is>
          <t xml:space="preserve">Декларация № ЕАЭС № BY/112 11.01. ТР017 122.01 08246, до 19.04.2028</t>
        </is>
      </c>
      <c r="N1147" t="inlineStr">
        <is>
          <t xml:space="preserve">39 × 30 × 5</t>
        </is>
      </c>
      <c r="O1147" t="inlineStr">
        <is>
          <t xml:space="preserve">0,69</t>
        </is>
      </c>
      <c r="P1147" t="inlineStr">
        <is>
          <t xml:space="preserve">4816148180254</t>
        </is>
      </c>
      <c r="Q1147" s="3" t="str">
        <f>HYPERLINK("https://modify.by/img/880112922/1.webp","фото")</f>
        <v>фото</v>
      </c>
      <c r="R1147" s="3" t="str">
        <f>HYPERLINK("https://modify.by/catalog/tolstovki/880112922/?utm_source=price&amp;utm_medium=xlsx","открыть")</f>
        <v>открыть</v>
      </c>
    </row>
    <row r="1148">
      <c r="A1148" t="inlineStr">
        <is>
          <t xml:space="preserve">Мужской</t>
        </is>
      </c>
      <c r="B1148" t="inlineStr">
        <is>
          <t xml:space="preserve">Толстовки</t>
        </is>
      </c>
      <c r="C1148" t="inlineStr">
        <is>
          <t xml:space="preserve">Толстовка олимпийка на молнии теплая</t>
        </is>
      </c>
      <c r="D1148" t="inlineStr">
        <is>
          <t xml:space="preserve">HO62M01васильковый</t>
        </is>
      </c>
      <c r="E1148" t="inlineStr">
        <is>
          <t xml:space="preserve">васильковый</t>
        </is>
      </c>
      <c r="F1148" t="inlineStr">
        <is>
          <t xml:space="preserve">50-52</t>
        </is>
      </c>
      <c r="G1148">
        <v>19</v>
      </c>
      <c r="H1148" s="2">
        <v>44.0</v>
      </c>
      <c r="I1148" t="inlineStr">
        <is>
          <t xml:space="preserve">80% хлопок, 20% полиэфирные волокна</t>
        </is>
      </c>
      <c r="J1148"/>
      <c r="K1148" t="inlineStr">
        <is>
          <t xml:space="preserve">Бангладеш</t>
        </is>
      </c>
      <c r="L1148" t="inlineStr">
        <is>
          <t xml:space="preserve">6110209100</t>
        </is>
      </c>
      <c r="M1148" t="inlineStr">
        <is>
          <t xml:space="preserve">Декларация № ЕАЭС № BY/112 11.01. ТР017 122.01 08246, до 19.04.2028</t>
        </is>
      </c>
      <c r="N1148" t="inlineStr">
        <is>
          <t xml:space="preserve">39 × 30 × 5</t>
        </is>
      </c>
      <c r="O1148" t="inlineStr">
        <is>
          <t xml:space="preserve">0,69</t>
        </is>
      </c>
      <c r="P1148" t="inlineStr">
        <is>
          <t xml:space="preserve">4816148180261</t>
        </is>
      </c>
      <c r="Q1148" s="3" t="str">
        <f>HYPERLINK("https://modify.by/img/880112922/1.webp","фото")</f>
        <v>фото</v>
      </c>
      <c r="R1148" s="3" t="str">
        <f>HYPERLINK("https://modify.by/catalog/tolstovki/880112922/?utm_source=price&amp;utm_medium=xlsx","открыть")</f>
        <v>открыть</v>
      </c>
    </row>
    <row r="1149">
      <c r="A1149" t="inlineStr">
        <is>
          <t xml:space="preserve">Мужской</t>
        </is>
      </c>
      <c r="B1149" t="inlineStr">
        <is>
          <t xml:space="preserve">Толстовки</t>
        </is>
      </c>
      <c r="C1149" t="inlineStr">
        <is>
          <t xml:space="preserve">Толстовка олимпийка на молнии теплая</t>
        </is>
      </c>
      <c r="D1149" t="inlineStr">
        <is>
          <t xml:space="preserve">HO62M01васильковый</t>
        </is>
      </c>
      <c r="E1149" t="inlineStr">
        <is>
          <t xml:space="preserve">васильковый</t>
        </is>
      </c>
      <c r="F1149" t="inlineStr">
        <is>
          <t xml:space="preserve">52-54</t>
        </is>
      </c>
      <c r="G1149">
        <v>4</v>
      </c>
      <c r="H1149" s="2">
        <v>44.0</v>
      </c>
      <c r="I1149" t="inlineStr">
        <is>
          <t xml:space="preserve">80% хлопок, 20% полиэфирные волокна</t>
        </is>
      </c>
      <c r="J1149"/>
      <c r="K1149" t="inlineStr">
        <is>
          <t xml:space="preserve">Бангладеш</t>
        </is>
      </c>
      <c r="L1149" t="inlineStr">
        <is>
          <t xml:space="preserve">6110209100</t>
        </is>
      </c>
      <c r="M1149" t="inlineStr">
        <is>
          <t xml:space="preserve">Декларация № ЕАЭС № BY/112 11.01. ТР017 122.01 08246, до 19.04.2028</t>
        </is>
      </c>
      <c r="N1149" t="inlineStr">
        <is>
          <t xml:space="preserve">39 × 30 × 5</t>
        </is>
      </c>
      <c r="O1149" t="inlineStr">
        <is>
          <t xml:space="preserve">0,69</t>
        </is>
      </c>
      <c r="P1149" t="inlineStr">
        <is>
          <t xml:space="preserve">4816148180278</t>
        </is>
      </c>
      <c r="Q1149" s="3" t="str">
        <f>HYPERLINK("https://modify.by/img/880112922/1.webp","фото")</f>
        <v>фото</v>
      </c>
      <c r="R1149" s="3" t="str">
        <f>HYPERLINK("https://modify.by/catalog/tolstovki/880112922/?utm_source=price&amp;utm_medium=xlsx","открыть")</f>
        <v>открыть</v>
      </c>
    </row>
    <row r="1150">
      <c r="A1150" t="inlineStr">
        <is>
          <t xml:space="preserve">Мужской</t>
        </is>
      </c>
      <c r="B1150" t="inlineStr">
        <is>
          <t xml:space="preserve">Толстовки</t>
        </is>
      </c>
      <c r="C1150" t="inlineStr">
        <is>
          <t xml:space="preserve">Толстовка олимпийка на молнии теплая</t>
        </is>
      </c>
      <c r="D1150" t="inlineStr">
        <is>
          <t xml:space="preserve">HO62M01васильковый</t>
        </is>
      </c>
      <c r="E1150" t="inlineStr">
        <is>
          <t xml:space="preserve">васильковый</t>
        </is>
      </c>
      <c r="F1150" t="inlineStr">
        <is>
          <t xml:space="preserve">54-56</t>
        </is>
      </c>
      <c r="G1150">
        <v>4</v>
      </c>
      <c r="H1150" s="2">
        <v>44.0</v>
      </c>
      <c r="I1150" t="inlineStr">
        <is>
          <t xml:space="preserve">80% хлопок, 20% полиэфирные волокна</t>
        </is>
      </c>
      <c r="J1150"/>
      <c r="K1150" t="inlineStr">
        <is>
          <t xml:space="preserve">Бангладеш</t>
        </is>
      </c>
      <c r="L1150" t="inlineStr">
        <is>
          <t xml:space="preserve">6110209100</t>
        </is>
      </c>
      <c r="M1150" t="inlineStr">
        <is>
          <t xml:space="preserve">Декларация № ЕАЭС № BY/112 11.01. ТР017 122.01 08246, до 19.04.2028</t>
        </is>
      </c>
      <c r="N1150" t="inlineStr">
        <is>
          <t xml:space="preserve">39 × 30 × 5</t>
        </is>
      </c>
      <c r="O1150" t="inlineStr">
        <is>
          <t xml:space="preserve">0,69</t>
        </is>
      </c>
      <c r="P1150" t="inlineStr">
        <is>
          <t xml:space="preserve">4816148180285</t>
        </is>
      </c>
      <c r="Q1150" s="3" t="str">
        <f>HYPERLINK("https://modify.by/img/880112922/1.webp","фото")</f>
        <v>фото</v>
      </c>
      <c r="R1150" s="3" t="str">
        <f>HYPERLINK("https://modify.by/catalog/tolstovki/880112922/?utm_source=price&amp;utm_medium=xlsx","открыть")</f>
        <v>открыть</v>
      </c>
    </row>
    <row r="1151">
      <c r="A1151" t="inlineStr">
        <is>
          <t xml:space="preserve">Мужской</t>
        </is>
      </c>
      <c r="B1151" t="inlineStr">
        <is>
          <t xml:space="preserve">Толстовки</t>
        </is>
      </c>
      <c r="C1151" t="inlineStr">
        <is>
          <t xml:space="preserve">Толстовка олимпийка на молнии теплая</t>
        </is>
      </c>
      <c r="D1151" t="inlineStr">
        <is>
          <t xml:space="preserve">HO62M01васильковый</t>
        </is>
      </c>
      <c r="E1151" t="inlineStr">
        <is>
          <t xml:space="preserve">васильковый</t>
        </is>
      </c>
      <c r="F1151" t="inlineStr">
        <is>
          <t xml:space="preserve">56-58</t>
        </is>
      </c>
      <c r="G1151">
        <v>2</v>
      </c>
      <c r="H1151" s="2">
        <v>44.0</v>
      </c>
      <c r="I1151" t="inlineStr">
        <is>
          <t xml:space="preserve">80% хлопок, 20% полиэфирные волокна</t>
        </is>
      </c>
      <c r="J1151"/>
      <c r="K1151" t="inlineStr">
        <is>
          <t xml:space="preserve">Бангладеш</t>
        </is>
      </c>
      <c r="L1151" t="inlineStr">
        <is>
          <t xml:space="preserve">6110209100</t>
        </is>
      </c>
      <c r="M1151" t="inlineStr">
        <is>
          <t xml:space="preserve">Декларация № ЕАЭС № BY/112 11.01. ТР017 122.01 08246, до 19.04.2028</t>
        </is>
      </c>
      <c r="N1151" t="inlineStr">
        <is>
          <t xml:space="preserve">39 × 30 × 5</t>
        </is>
      </c>
      <c r="O1151" t="inlineStr">
        <is>
          <t xml:space="preserve">0,69</t>
        </is>
      </c>
      <c r="P1151" t="inlineStr">
        <is>
          <t xml:space="preserve">4816148180292</t>
        </is>
      </c>
      <c r="Q1151" s="3" t="str">
        <f>HYPERLINK("https://modify.by/img/880112922/1.webp","фото")</f>
        <v>фото</v>
      </c>
      <c r="R1151" s="3" t="str">
        <f>HYPERLINK("https://modify.by/catalog/tolstovki/880112922/?utm_source=price&amp;utm_medium=xlsx","открыть")</f>
        <v>открыть</v>
      </c>
    </row>
    <row r="1152">
      <c r="A1152" t="inlineStr">
        <is>
          <t xml:space="preserve">Мужской</t>
        </is>
      </c>
      <c r="B1152" t="inlineStr">
        <is>
          <t xml:space="preserve">Толстовки</t>
        </is>
      </c>
      <c r="C1152" t="inlineStr">
        <is>
          <t xml:space="preserve">Толстовка олимпийка на молнии хлопок, красный</t>
        </is>
      </c>
      <c r="D1152" t="inlineStr">
        <is>
          <t xml:space="preserve">HO62M01красный</t>
        </is>
      </c>
      <c r="E1152" t="inlineStr">
        <is>
          <t xml:space="preserve">красный</t>
        </is>
      </c>
      <c r="F1152" t="inlineStr">
        <is>
          <t xml:space="preserve">44-46</t>
        </is>
      </c>
      <c r="G1152">
        <v>5</v>
      </c>
      <c r="H1152" s="2">
        <v>44.0</v>
      </c>
      <c r="I1152" t="inlineStr">
        <is>
          <t xml:space="preserve">80% хлопок, 20% полиэфирные волокна</t>
        </is>
      </c>
      <c r="J1152"/>
      <c r="K1152" t="inlineStr">
        <is>
          <t xml:space="preserve">Бангладеш</t>
        </is>
      </c>
      <c r="L1152" t="inlineStr">
        <is>
          <t xml:space="preserve">6110209100</t>
        </is>
      </c>
      <c r="M1152" t="inlineStr">
        <is>
          <t xml:space="preserve">Декларация № ЕАЭС № BY/112 11.01. ТР017 122.01 08246, до 19.04.2028</t>
        </is>
      </c>
      <c r="N1152" t="inlineStr">
        <is>
          <t xml:space="preserve">39 × 30 × 5</t>
        </is>
      </c>
      <c r="O1152" t="inlineStr">
        <is>
          <t xml:space="preserve">0,69</t>
        </is>
      </c>
      <c r="P1152" t="inlineStr">
        <is>
          <t xml:space="preserve">4816148179821</t>
        </is>
      </c>
      <c r="Q1152" s="3" t="str">
        <f>HYPERLINK("https://modify.by/img/824747836/1.webp","фото")</f>
        <v>фото</v>
      </c>
      <c r="R1152" s="3" t="str">
        <f>HYPERLINK("https://modify.by/catalog/tolstovki/824747836/?utm_source=price&amp;utm_medium=xlsx","открыть")</f>
        <v>открыть</v>
      </c>
    </row>
    <row r="1153">
      <c r="A1153" t="inlineStr">
        <is>
          <t xml:space="preserve">Мужской</t>
        </is>
      </c>
      <c r="B1153" t="inlineStr">
        <is>
          <t xml:space="preserve">Толстовки</t>
        </is>
      </c>
      <c r="C1153" t="inlineStr">
        <is>
          <t xml:space="preserve">Толстовка олимпийка на молнии хлопок, красный</t>
        </is>
      </c>
      <c r="D1153" t="inlineStr">
        <is>
          <t xml:space="preserve">HO62M01красный</t>
        </is>
      </c>
      <c r="E1153" t="inlineStr">
        <is>
          <t xml:space="preserve">красный</t>
        </is>
      </c>
      <c r="F1153" t="inlineStr">
        <is>
          <t xml:space="preserve">46-48</t>
        </is>
      </c>
      <c r="G1153">
        <v>14</v>
      </c>
      <c r="H1153" s="2">
        <v>44.0</v>
      </c>
      <c r="I1153" t="inlineStr">
        <is>
          <t xml:space="preserve">80% хлопок, 20% полиэфирные волокна</t>
        </is>
      </c>
      <c r="J1153"/>
      <c r="K1153" t="inlineStr">
        <is>
          <t xml:space="preserve">Бангладеш</t>
        </is>
      </c>
      <c r="L1153" t="inlineStr">
        <is>
          <t xml:space="preserve">6110209100</t>
        </is>
      </c>
      <c r="M1153" t="inlineStr">
        <is>
          <t xml:space="preserve">Декларация № ЕАЭС № BY/112 11.01. ТР017 122.01 08246, до 19.04.2028</t>
        </is>
      </c>
      <c r="N1153" t="inlineStr">
        <is>
          <t xml:space="preserve">39 × 30 × 5</t>
        </is>
      </c>
      <c r="O1153" t="inlineStr">
        <is>
          <t xml:space="preserve">0,69</t>
        </is>
      </c>
      <c r="P1153" t="inlineStr">
        <is>
          <t xml:space="preserve">4816148179838</t>
        </is>
      </c>
      <c r="Q1153" s="3" t="str">
        <f>HYPERLINK("https://modify.by/img/824747836/1.webp","фото")</f>
        <v>фото</v>
      </c>
      <c r="R1153" s="3" t="str">
        <f>HYPERLINK("https://modify.by/catalog/tolstovki/824747836/?utm_source=price&amp;utm_medium=xlsx","открыть")</f>
        <v>открыть</v>
      </c>
    </row>
    <row r="1154">
      <c r="A1154" t="inlineStr">
        <is>
          <t xml:space="preserve">Мужской</t>
        </is>
      </c>
      <c r="B1154" t="inlineStr">
        <is>
          <t xml:space="preserve">Толстовки</t>
        </is>
      </c>
      <c r="C1154" t="inlineStr">
        <is>
          <t xml:space="preserve">Толстовка олимпийка на молнии хлопок, красный</t>
        </is>
      </c>
      <c r="D1154" t="inlineStr">
        <is>
          <t xml:space="preserve">HO62M01красный</t>
        </is>
      </c>
      <c r="E1154" t="inlineStr">
        <is>
          <t xml:space="preserve">красный</t>
        </is>
      </c>
      <c r="F1154" t="inlineStr">
        <is>
          <t xml:space="preserve">48-50</t>
        </is>
      </c>
      <c r="G1154">
        <v>19</v>
      </c>
      <c r="H1154" s="2">
        <v>44.0</v>
      </c>
      <c r="I1154" t="inlineStr">
        <is>
          <t xml:space="preserve">80% хлопок, 20% полиэфирные волокна</t>
        </is>
      </c>
      <c r="J1154"/>
      <c r="K1154" t="inlineStr">
        <is>
          <t xml:space="preserve">Бангладеш</t>
        </is>
      </c>
      <c r="L1154" t="inlineStr">
        <is>
          <t xml:space="preserve">6110209100</t>
        </is>
      </c>
      <c r="M1154" t="inlineStr">
        <is>
          <t xml:space="preserve">Декларация № ЕАЭС № BY/112 11.01. ТР017 122.01 08246, до 19.04.2028</t>
        </is>
      </c>
      <c r="N1154" t="inlineStr">
        <is>
          <t xml:space="preserve">39 × 30 × 5</t>
        </is>
      </c>
      <c r="O1154" t="inlineStr">
        <is>
          <t xml:space="preserve">0,69</t>
        </is>
      </c>
      <c r="P1154" t="inlineStr">
        <is>
          <t xml:space="preserve">4816148179845</t>
        </is>
      </c>
      <c r="Q1154" s="3" t="str">
        <f>HYPERLINK("https://modify.by/img/824747836/1.webp","фото")</f>
        <v>фото</v>
      </c>
      <c r="R1154" s="3" t="str">
        <f>HYPERLINK("https://modify.by/catalog/tolstovki/824747836/?utm_source=price&amp;utm_medium=xlsx","открыть")</f>
        <v>открыть</v>
      </c>
    </row>
    <row r="1155">
      <c r="A1155" t="inlineStr">
        <is>
          <t xml:space="preserve">Мужской</t>
        </is>
      </c>
      <c r="B1155" t="inlineStr">
        <is>
          <t xml:space="preserve">Толстовки</t>
        </is>
      </c>
      <c r="C1155" t="inlineStr">
        <is>
          <t xml:space="preserve">Толстовка олимпийка на молнии хлопок, красный</t>
        </is>
      </c>
      <c r="D1155" t="inlineStr">
        <is>
          <t xml:space="preserve">HO62M01красный</t>
        </is>
      </c>
      <c r="E1155" t="inlineStr">
        <is>
          <t xml:space="preserve">красный</t>
        </is>
      </c>
      <c r="F1155" t="inlineStr">
        <is>
          <t xml:space="preserve">50-52</t>
        </is>
      </c>
      <c r="G1155">
        <v>2</v>
      </c>
      <c r="H1155" s="2">
        <v>44.0</v>
      </c>
      <c r="I1155" t="inlineStr">
        <is>
          <t xml:space="preserve">80% хлопок, 20% полиэфирные волокна</t>
        </is>
      </c>
      <c r="J1155"/>
      <c r="K1155" t="inlineStr">
        <is>
          <t xml:space="preserve">Бангладеш</t>
        </is>
      </c>
      <c r="L1155" t="inlineStr">
        <is>
          <t xml:space="preserve">6110209100</t>
        </is>
      </c>
      <c r="M1155" t="inlineStr">
        <is>
          <t xml:space="preserve">Декларация № ЕАЭС № BY/112 11.01. ТР017 122.01 08246, до 19.04.2028</t>
        </is>
      </c>
      <c r="N1155" t="inlineStr">
        <is>
          <t xml:space="preserve">39 × 30 × 5</t>
        </is>
      </c>
      <c r="O1155" t="inlineStr">
        <is>
          <t xml:space="preserve">0,69</t>
        </is>
      </c>
      <c r="P1155" t="inlineStr">
        <is>
          <t xml:space="preserve">4816148179852</t>
        </is>
      </c>
      <c r="Q1155" s="3" t="str">
        <f>HYPERLINK("https://modify.by/img/824747836/1.webp","фото")</f>
        <v>фото</v>
      </c>
      <c r="R1155" s="3" t="str">
        <f>HYPERLINK("https://modify.by/catalog/tolstovki/824747836/?utm_source=price&amp;utm_medium=xlsx","открыть")</f>
        <v>открыть</v>
      </c>
    </row>
    <row r="1156">
      <c r="A1156" t="inlineStr">
        <is>
          <t xml:space="preserve">Мужской</t>
        </is>
      </c>
      <c r="B1156" t="inlineStr">
        <is>
          <t xml:space="preserve">Толстовки</t>
        </is>
      </c>
      <c r="C1156" t="inlineStr">
        <is>
          <t xml:space="preserve">Толстовка олимпийка на молнии хлопок, красный</t>
        </is>
      </c>
      <c r="D1156" t="inlineStr">
        <is>
          <t xml:space="preserve">HO62M01красный</t>
        </is>
      </c>
      <c r="E1156" t="inlineStr">
        <is>
          <t xml:space="preserve">красный</t>
        </is>
      </c>
      <c r="F1156" t="inlineStr">
        <is>
          <t xml:space="preserve">52-54</t>
        </is>
      </c>
      <c r="G1156">
        <v>1</v>
      </c>
      <c r="H1156" s="2">
        <v>44.0</v>
      </c>
      <c r="I1156" t="inlineStr">
        <is>
          <t xml:space="preserve">80% хлопок, 20% полиэфирные волокна</t>
        </is>
      </c>
      <c r="J1156"/>
      <c r="K1156" t="inlineStr">
        <is>
          <t xml:space="preserve">Бангладеш</t>
        </is>
      </c>
      <c r="L1156" t="inlineStr">
        <is>
          <t xml:space="preserve">6110209100</t>
        </is>
      </c>
      <c r="M1156" t="inlineStr">
        <is>
          <t xml:space="preserve">Декларация № ЕАЭС № BY/112 11.01. ТР017 122.01 08246, до 19.04.2028</t>
        </is>
      </c>
      <c r="N1156" t="inlineStr">
        <is>
          <t xml:space="preserve">39 × 30 × 5</t>
        </is>
      </c>
      <c r="O1156" t="inlineStr">
        <is>
          <t xml:space="preserve">0,69</t>
        </is>
      </c>
      <c r="P1156" t="inlineStr">
        <is>
          <t xml:space="preserve">4816148179869</t>
        </is>
      </c>
      <c r="Q1156" s="3" t="str">
        <f>HYPERLINK("https://modify.by/img/824747836/1.webp","фото")</f>
        <v>фото</v>
      </c>
      <c r="R1156" s="3" t="str">
        <f>HYPERLINK("https://modify.by/catalog/tolstovki/824747836/?utm_source=price&amp;utm_medium=xlsx","открыть")</f>
        <v>открыть</v>
      </c>
    </row>
    <row r="1157">
      <c r="A1157" t="inlineStr">
        <is>
          <t xml:space="preserve">Мужской</t>
        </is>
      </c>
      <c r="B1157" t="inlineStr">
        <is>
          <t xml:space="preserve">Толстовки</t>
        </is>
      </c>
      <c r="C1157" t="inlineStr">
        <is>
          <t xml:space="preserve">Толстовка олимпийка на молнии хлопок, темно-синий</t>
        </is>
      </c>
      <c r="D1157" t="inlineStr">
        <is>
          <t xml:space="preserve">HO62M01темно-синий</t>
        </is>
      </c>
      <c r="E1157" t="inlineStr">
        <is>
          <t xml:space="preserve">темно-синий</t>
        </is>
      </c>
      <c r="F1157" t="inlineStr">
        <is>
          <t xml:space="preserve">42-44</t>
        </is>
      </c>
      <c r="G1157">
        <v>4</v>
      </c>
      <c r="H1157" s="2">
        <v>44.0</v>
      </c>
      <c r="I1157" t="inlineStr">
        <is>
          <t xml:space="preserve">80% хлопок, 20% полиэфирные волокна</t>
        </is>
      </c>
      <c r="J1157"/>
      <c r="K1157" t="inlineStr">
        <is>
          <t xml:space="preserve">Бангладеш</t>
        </is>
      </c>
      <c r="L1157" t="inlineStr">
        <is>
          <t xml:space="preserve">6110209100</t>
        </is>
      </c>
      <c r="M1157" t="inlineStr">
        <is>
          <t xml:space="preserve">Декларация № ЕАЭС № BY/112 11.01. ТР017 122.01 08246, до 19.04.2028</t>
        </is>
      </c>
      <c r="N1157" t="inlineStr">
        <is>
          <t xml:space="preserve">39 × 30 × 5</t>
        </is>
      </c>
      <c r="O1157" t="inlineStr">
        <is>
          <t xml:space="preserve">0,69</t>
        </is>
      </c>
      <c r="P1157" t="inlineStr">
        <is>
          <t xml:space="preserve">4816148179692</t>
        </is>
      </c>
      <c r="Q1157" s="3" t="str">
        <f>HYPERLINK("https://modify.by/img/824747834/1.webp","фото")</f>
        <v>фото</v>
      </c>
      <c r="R1157" s="3" t="str">
        <f>HYPERLINK("https://modify.by/catalog/tolstovki/824747834/?utm_source=price&amp;utm_medium=xlsx","открыть")</f>
        <v>открыть</v>
      </c>
    </row>
    <row r="1158">
      <c r="A1158" t="inlineStr">
        <is>
          <t xml:space="preserve">Мужской</t>
        </is>
      </c>
      <c r="B1158" t="inlineStr">
        <is>
          <t xml:space="preserve">Толстовки</t>
        </is>
      </c>
      <c r="C1158" t="inlineStr">
        <is>
          <t xml:space="preserve">Толстовка олимпийка на молнии хлопок, темно-синий</t>
        </is>
      </c>
      <c r="D1158" t="inlineStr">
        <is>
          <t xml:space="preserve">HO62M01темно-синий</t>
        </is>
      </c>
      <c r="E1158" t="inlineStr">
        <is>
          <t xml:space="preserve">темно-синий</t>
        </is>
      </c>
      <c r="F1158" t="inlineStr">
        <is>
          <t xml:space="preserve">44-46</t>
        </is>
      </c>
      <c r="G1158">
        <v>5</v>
      </c>
      <c r="H1158" s="2">
        <v>44.0</v>
      </c>
      <c r="I1158" t="inlineStr">
        <is>
          <t xml:space="preserve">80% хлопок, 20% полиэфирные волокна</t>
        </is>
      </c>
      <c r="J1158"/>
      <c r="K1158" t="inlineStr">
        <is>
          <t xml:space="preserve">Бангладеш</t>
        </is>
      </c>
      <c r="L1158" t="inlineStr">
        <is>
          <t xml:space="preserve">6110209100</t>
        </is>
      </c>
      <c r="M1158" t="inlineStr">
        <is>
          <t xml:space="preserve">Декларация № ЕАЭС № BY/112 11.01. ТР017 122.01 08246, до 19.04.2028</t>
        </is>
      </c>
      <c r="N1158" t="inlineStr">
        <is>
          <t xml:space="preserve">39 × 30 × 5</t>
        </is>
      </c>
      <c r="O1158" t="inlineStr">
        <is>
          <t xml:space="preserve">0,69</t>
        </is>
      </c>
      <c r="P1158" t="inlineStr">
        <is>
          <t xml:space="preserve">4816148179708</t>
        </is>
      </c>
      <c r="Q1158" s="3" t="str">
        <f>HYPERLINK("https://modify.by/img/824747834/1.webp","фото")</f>
        <v>фото</v>
      </c>
      <c r="R1158" s="3" t="str">
        <f>HYPERLINK("https://modify.by/catalog/tolstovki/824747834/?utm_source=price&amp;utm_medium=xlsx","открыть")</f>
        <v>открыть</v>
      </c>
    </row>
    <row r="1159">
      <c r="A1159" t="inlineStr">
        <is>
          <t xml:space="preserve">Мужской</t>
        </is>
      </c>
      <c r="B1159" t="inlineStr">
        <is>
          <t xml:space="preserve">Толстовки</t>
        </is>
      </c>
      <c r="C1159" t="inlineStr">
        <is>
          <t xml:space="preserve">Толстовка олимпийка на молнии хлопок, темно-синий</t>
        </is>
      </c>
      <c r="D1159" t="inlineStr">
        <is>
          <t xml:space="preserve">HO62M01темно-синий</t>
        </is>
      </c>
      <c r="E1159" t="inlineStr">
        <is>
          <t xml:space="preserve">темно-синий</t>
        </is>
      </c>
      <c r="F1159" t="inlineStr">
        <is>
          <t xml:space="preserve">46-48</t>
        </is>
      </c>
      <c r="G1159">
        <v>2</v>
      </c>
      <c r="H1159" s="2">
        <v>44.0</v>
      </c>
      <c r="I1159" t="inlineStr">
        <is>
          <t xml:space="preserve">80% хлопок, 20% полиэфирные волокна</t>
        </is>
      </c>
      <c r="J1159"/>
      <c r="K1159" t="inlineStr">
        <is>
          <t xml:space="preserve">Бангладеш</t>
        </is>
      </c>
      <c r="L1159" t="inlineStr">
        <is>
          <t xml:space="preserve">6110209100</t>
        </is>
      </c>
      <c r="M1159" t="inlineStr">
        <is>
          <t xml:space="preserve">Декларация № ЕАЭС № BY/112 11.01. ТР017 122.01 08246, до 19.04.2028</t>
        </is>
      </c>
      <c r="N1159" t="inlineStr">
        <is>
          <t xml:space="preserve">39 × 30 × 5</t>
        </is>
      </c>
      <c r="O1159" t="inlineStr">
        <is>
          <t xml:space="preserve">0,69</t>
        </is>
      </c>
      <c r="P1159" t="inlineStr">
        <is>
          <t xml:space="preserve">4816148179715</t>
        </is>
      </c>
      <c r="Q1159" s="3" t="str">
        <f>HYPERLINK("https://modify.by/img/824747834/1.webp","фото")</f>
        <v>фото</v>
      </c>
      <c r="R1159" s="3" t="str">
        <f>HYPERLINK("https://modify.by/catalog/tolstovki/824747834/?utm_source=price&amp;utm_medium=xlsx","открыть")</f>
        <v>открыть</v>
      </c>
    </row>
    <row r="1160">
      <c r="A1160" t="inlineStr">
        <is>
          <t xml:space="preserve">Мужской</t>
        </is>
      </c>
      <c r="B1160" t="inlineStr">
        <is>
          <t xml:space="preserve">Толстовки</t>
        </is>
      </c>
      <c r="C1160" t="inlineStr">
        <is>
          <t xml:space="preserve">Толстовка олимпийка на молнии хлопок, темно-синий</t>
        </is>
      </c>
      <c r="D1160" t="inlineStr">
        <is>
          <t xml:space="preserve">HO62M01темно-синий</t>
        </is>
      </c>
      <c r="E1160" t="inlineStr">
        <is>
          <t xml:space="preserve">темно-синий</t>
        </is>
      </c>
      <c r="F1160" t="inlineStr">
        <is>
          <t xml:space="preserve">48-50</t>
        </is>
      </c>
      <c r="G1160">
        <v>1</v>
      </c>
      <c r="H1160" s="2">
        <v>44.0</v>
      </c>
      <c r="I1160" t="inlineStr">
        <is>
          <t xml:space="preserve">80% хлопок, 20% полиэфирные волокна</t>
        </is>
      </c>
      <c r="J1160"/>
      <c r="K1160" t="inlineStr">
        <is>
          <t xml:space="preserve">Бангладеш</t>
        </is>
      </c>
      <c r="L1160" t="inlineStr">
        <is>
          <t xml:space="preserve">6110209100</t>
        </is>
      </c>
      <c r="M1160" t="inlineStr">
        <is>
          <t xml:space="preserve">Декларация № ЕАЭС № BY/112 11.01. ТР017 122.01 08246, до 19.04.2028</t>
        </is>
      </c>
      <c r="N1160" t="inlineStr">
        <is>
          <t xml:space="preserve">39 × 30 × 5</t>
        </is>
      </c>
      <c r="O1160" t="inlineStr">
        <is>
          <t xml:space="preserve">0,69</t>
        </is>
      </c>
      <c r="P1160" t="inlineStr">
        <is>
          <t xml:space="preserve">4816148179722</t>
        </is>
      </c>
      <c r="Q1160" s="3" t="str">
        <f>HYPERLINK("https://modify.by/img/824747834/1.webp","фото")</f>
        <v>фото</v>
      </c>
      <c r="R1160" s="3" t="str">
        <f>HYPERLINK("https://modify.by/catalog/tolstovki/824747834/?utm_source=price&amp;utm_medium=xlsx","открыть")</f>
        <v>открыть</v>
      </c>
    </row>
    <row r="1161">
      <c r="A1161" t="inlineStr">
        <is>
          <t xml:space="preserve">Мужской</t>
        </is>
      </c>
      <c r="B1161" t="inlineStr">
        <is>
          <t xml:space="preserve">Толстовки</t>
        </is>
      </c>
      <c r="C1161" t="inlineStr">
        <is>
          <t xml:space="preserve">Толстовка олимпийка на молнии хлопок, темно-синий</t>
        </is>
      </c>
      <c r="D1161" t="inlineStr">
        <is>
          <t xml:space="preserve">HO62M01темно-синий</t>
        </is>
      </c>
      <c r="E1161" t="inlineStr">
        <is>
          <t xml:space="preserve">темно-синий</t>
        </is>
      </c>
      <c r="F1161" t="inlineStr">
        <is>
          <t xml:space="preserve">50-52</t>
        </is>
      </c>
      <c r="G1161">
        <v>2</v>
      </c>
      <c r="H1161" s="2">
        <v>44.0</v>
      </c>
      <c r="I1161" t="inlineStr">
        <is>
          <t xml:space="preserve">80% хлопок, 20% полиэфирные волокна</t>
        </is>
      </c>
      <c r="J1161"/>
      <c r="K1161" t="inlineStr">
        <is>
          <t xml:space="preserve">Бангладеш</t>
        </is>
      </c>
      <c r="L1161" t="inlineStr">
        <is>
          <t xml:space="preserve">6110209100</t>
        </is>
      </c>
      <c r="M1161" t="inlineStr">
        <is>
          <t xml:space="preserve">Декларация № ЕАЭС № BY/112 11.01. ТР017 122.01 08246, до 19.04.2028</t>
        </is>
      </c>
      <c r="N1161" t="inlineStr">
        <is>
          <t xml:space="preserve">39 × 30 × 5</t>
        </is>
      </c>
      <c r="O1161" t="inlineStr">
        <is>
          <t xml:space="preserve">0,69</t>
        </is>
      </c>
      <c r="P1161" t="inlineStr">
        <is>
          <t xml:space="preserve">4816148179739</t>
        </is>
      </c>
      <c r="Q1161" s="3" t="str">
        <f>HYPERLINK("https://modify.by/img/824747834/1.webp","фото")</f>
        <v>фото</v>
      </c>
      <c r="R1161" s="3" t="str">
        <f>HYPERLINK("https://modify.by/catalog/tolstovki/824747834/?utm_source=price&amp;utm_medium=xlsx","открыть")</f>
        <v>открыть</v>
      </c>
    </row>
    <row r="1162">
      <c r="A1162" t="inlineStr">
        <is>
          <t xml:space="preserve">Мужской</t>
        </is>
      </c>
      <c r="B1162" t="inlineStr">
        <is>
          <t xml:space="preserve">Толстовки</t>
        </is>
      </c>
      <c r="C1162" t="inlineStr">
        <is>
          <t xml:space="preserve">Толстовка олимпийка на молнии хлопок, черный</t>
        </is>
      </c>
      <c r="D1162" t="inlineStr">
        <is>
          <t xml:space="preserve">HO62M01черный</t>
        </is>
      </c>
      <c r="E1162" t="inlineStr">
        <is>
          <t xml:space="preserve">черный</t>
        </is>
      </c>
      <c r="F1162" t="inlineStr">
        <is>
          <t xml:space="preserve">44-46</t>
        </is>
      </c>
      <c r="G1162">
        <v>6</v>
      </c>
      <c r="H1162" s="2">
        <v>44.0</v>
      </c>
      <c r="I1162" t="inlineStr">
        <is>
          <t xml:space="preserve">80% хлопок, 20% полиэфирные волокна</t>
        </is>
      </c>
      <c r="J1162"/>
      <c r="K1162" t="inlineStr">
        <is>
          <t xml:space="preserve">Бангладеш</t>
        </is>
      </c>
      <c r="L1162" t="inlineStr">
        <is>
          <t xml:space="preserve">6110209100</t>
        </is>
      </c>
      <c r="M1162" t="inlineStr">
        <is>
          <t xml:space="preserve">Декларация № ЕАЭС № BY/112 11.01. ТР017 122.01 08246, до 19.04.2028</t>
        </is>
      </c>
      <c r="N1162" t="inlineStr">
        <is>
          <t xml:space="preserve">39 × 30 × 5</t>
        </is>
      </c>
      <c r="O1162" t="inlineStr">
        <is>
          <t xml:space="preserve">0,69</t>
        </is>
      </c>
      <c r="P1162" t="inlineStr">
        <is>
          <t xml:space="preserve">4816148179760</t>
        </is>
      </c>
      <c r="Q1162" s="3" t="str">
        <f>HYPERLINK("https://modify.by/img/824747835/1.webp","фото")</f>
        <v>фото</v>
      </c>
      <c r="R1162" s="3" t="str">
        <f>HYPERLINK("https://modify.by/catalog/tolstovki/824747835/?utm_source=price&amp;utm_medium=xlsx","открыть")</f>
        <v>открыть</v>
      </c>
    </row>
    <row r="1163">
      <c r="A1163" t="inlineStr">
        <is>
          <t xml:space="preserve">Мужской</t>
        </is>
      </c>
      <c r="B1163" t="inlineStr">
        <is>
          <t xml:space="preserve">Толстовки</t>
        </is>
      </c>
      <c r="C1163" t="inlineStr">
        <is>
          <t xml:space="preserve">Толстовка олимпийка на молнии хлопок, черный</t>
        </is>
      </c>
      <c r="D1163" t="inlineStr">
        <is>
          <t xml:space="preserve">HO62M01черный</t>
        </is>
      </c>
      <c r="E1163" t="inlineStr">
        <is>
          <t xml:space="preserve">черный</t>
        </is>
      </c>
      <c r="F1163" t="inlineStr">
        <is>
          <t xml:space="preserve">46-48</t>
        </is>
      </c>
      <c r="G1163">
        <v>31</v>
      </c>
      <c r="H1163" s="2">
        <v>44.0</v>
      </c>
      <c r="I1163" t="inlineStr">
        <is>
          <t xml:space="preserve">80% хлопок, 20% полиэфирные волокна</t>
        </is>
      </c>
      <c r="J1163"/>
      <c r="K1163" t="inlineStr">
        <is>
          <t xml:space="preserve">Бангладеш</t>
        </is>
      </c>
      <c r="L1163" t="inlineStr">
        <is>
          <t xml:space="preserve">6110209100</t>
        </is>
      </c>
      <c r="M1163" t="inlineStr">
        <is>
          <t xml:space="preserve">Декларация № ЕАЭС № BY/112 11.01. ТР017 122.01 08246, до 19.04.2028</t>
        </is>
      </c>
      <c r="N1163" t="inlineStr">
        <is>
          <t xml:space="preserve">39 × 30 × 5</t>
        </is>
      </c>
      <c r="O1163" t="inlineStr">
        <is>
          <t xml:space="preserve">0,69</t>
        </is>
      </c>
      <c r="P1163" t="inlineStr">
        <is>
          <t xml:space="preserve">4816148179777</t>
        </is>
      </c>
      <c r="Q1163" s="3" t="str">
        <f>HYPERLINK("https://modify.by/img/824747835/1.webp","фото")</f>
        <v>фото</v>
      </c>
      <c r="R1163" s="3" t="str">
        <f>HYPERLINK("https://modify.by/catalog/tolstovki/824747835/?utm_source=price&amp;utm_medium=xlsx","открыть")</f>
        <v>открыть</v>
      </c>
    </row>
    <row r="1164">
      <c r="A1164" t="inlineStr">
        <is>
          <t xml:space="preserve">Мужской</t>
        </is>
      </c>
      <c r="B1164" t="inlineStr">
        <is>
          <t xml:space="preserve">Толстовки</t>
        </is>
      </c>
      <c r="C1164" t="inlineStr">
        <is>
          <t xml:space="preserve">Толстовка олимпийка на молнии хлопок, черный</t>
        </is>
      </c>
      <c r="D1164" t="inlineStr">
        <is>
          <t xml:space="preserve">HO62M01черный</t>
        </is>
      </c>
      <c r="E1164" t="inlineStr">
        <is>
          <t xml:space="preserve">черный</t>
        </is>
      </c>
      <c r="F1164" t="inlineStr">
        <is>
          <t xml:space="preserve">48-50</t>
        </is>
      </c>
      <c r="G1164">
        <v>6</v>
      </c>
      <c r="H1164" s="2">
        <v>44.0</v>
      </c>
      <c r="I1164" t="inlineStr">
        <is>
          <t xml:space="preserve">80% хлопок, 20% полиэфирные волокна</t>
        </is>
      </c>
      <c r="J1164"/>
      <c r="K1164" t="inlineStr">
        <is>
          <t xml:space="preserve">Бангладеш</t>
        </is>
      </c>
      <c r="L1164" t="inlineStr">
        <is>
          <t xml:space="preserve">6110209100</t>
        </is>
      </c>
      <c r="M1164" t="inlineStr">
        <is>
          <t xml:space="preserve">Декларация № ЕАЭС № BY/112 11.01. ТР017 122.01 08246, до 19.04.2028</t>
        </is>
      </c>
      <c r="N1164" t="inlineStr">
        <is>
          <t xml:space="preserve">39 × 30 × 5</t>
        </is>
      </c>
      <c r="O1164" t="inlineStr">
        <is>
          <t xml:space="preserve">0,69</t>
        </is>
      </c>
      <c r="P1164" t="inlineStr">
        <is>
          <t xml:space="preserve">4816148179784</t>
        </is>
      </c>
      <c r="Q1164" s="3" t="str">
        <f>HYPERLINK("https://modify.by/img/824747835/1.webp","фото")</f>
        <v>фото</v>
      </c>
      <c r="R1164" s="3" t="str">
        <f>HYPERLINK("https://modify.by/catalog/tolstovki/824747835/?utm_source=price&amp;utm_medium=xlsx","открыть")</f>
        <v>открыть</v>
      </c>
    </row>
    <row r="1165">
      <c r="A1165" t="inlineStr">
        <is>
          <t xml:space="preserve">Мужской</t>
        </is>
      </c>
      <c r="B1165" t="inlineStr">
        <is>
          <t xml:space="preserve">Толстовки</t>
        </is>
      </c>
      <c r="C1165" t="inlineStr">
        <is>
          <t xml:space="preserve">Толстовка олимпийка на молнии хлопок, черный</t>
        </is>
      </c>
      <c r="D1165" t="inlineStr">
        <is>
          <t xml:space="preserve">HO62M01черный</t>
        </is>
      </c>
      <c r="E1165" t="inlineStr">
        <is>
          <t xml:space="preserve">черный</t>
        </is>
      </c>
      <c r="F1165" t="inlineStr">
        <is>
          <t xml:space="preserve">50-52</t>
        </is>
      </c>
      <c r="G1165">
        <v>2</v>
      </c>
      <c r="H1165" s="2">
        <v>44.0</v>
      </c>
      <c r="I1165" t="inlineStr">
        <is>
          <t xml:space="preserve">80% хлопок, 20% полиэфирные волокна</t>
        </is>
      </c>
      <c r="J1165"/>
      <c r="K1165" t="inlineStr">
        <is>
          <t xml:space="preserve">Бангладеш</t>
        </is>
      </c>
      <c r="L1165" t="inlineStr">
        <is>
          <t xml:space="preserve">6110209100</t>
        </is>
      </c>
      <c r="M1165" t="inlineStr">
        <is>
          <t xml:space="preserve">Декларация № ЕАЭС № BY/112 11.01. ТР017 122.01 08246, до 19.04.2028</t>
        </is>
      </c>
      <c r="N1165" t="inlineStr">
        <is>
          <t xml:space="preserve">39 × 30 × 5</t>
        </is>
      </c>
      <c r="O1165" t="inlineStr">
        <is>
          <t xml:space="preserve">0,69</t>
        </is>
      </c>
      <c r="P1165" t="inlineStr">
        <is>
          <t xml:space="preserve">4816148179791</t>
        </is>
      </c>
      <c r="Q1165" s="3" t="str">
        <f>HYPERLINK("https://modify.by/img/824747835/1.webp","фото")</f>
        <v>фото</v>
      </c>
      <c r="R1165" s="3" t="str">
        <f>HYPERLINK("https://modify.by/catalog/tolstovki/824747835/?utm_source=price&amp;utm_medium=xlsx","открыть")</f>
        <v>открыть</v>
      </c>
    </row>
    <row r="1166">
      <c r="A1166" t="inlineStr">
        <is>
          <t xml:space="preserve">Мужской</t>
        </is>
      </c>
      <c r="B1166" t="inlineStr">
        <is>
          <t xml:space="preserve">Толстовки</t>
        </is>
      </c>
      <c r="C1166" t="inlineStr">
        <is>
          <t xml:space="preserve">Толстовка олимпийка на молнии хлопок, черный</t>
        </is>
      </c>
      <c r="D1166" t="inlineStr">
        <is>
          <t xml:space="preserve">HO62M01черный</t>
        </is>
      </c>
      <c r="E1166" t="inlineStr">
        <is>
          <t xml:space="preserve">черный</t>
        </is>
      </c>
      <c r="F1166" t="inlineStr">
        <is>
          <t xml:space="preserve">52-54</t>
        </is>
      </c>
      <c r="G1166">
        <v>12</v>
      </c>
      <c r="H1166" s="2">
        <v>44.0</v>
      </c>
      <c r="I1166" t="inlineStr">
        <is>
          <t xml:space="preserve">80% хлопок, 20% полиэфирные волокна</t>
        </is>
      </c>
      <c r="J1166"/>
      <c r="K1166" t="inlineStr">
        <is>
          <t xml:space="preserve">Бангладеш</t>
        </is>
      </c>
      <c r="L1166" t="inlineStr">
        <is>
          <t xml:space="preserve">6110209100</t>
        </is>
      </c>
      <c r="M1166" t="inlineStr">
        <is>
          <t xml:space="preserve">Декларация № ЕАЭС № BY/112 11.01. ТР017 122.01 08246, до 19.04.2028</t>
        </is>
      </c>
      <c r="N1166" t="inlineStr">
        <is>
          <t xml:space="preserve">39 × 30 × 5</t>
        </is>
      </c>
      <c r="O1166" t="inlineStr">
        <is>
          <t xml:space="preserve">0,69</t>
        </is>
      </c>
      <c r="P1166" t="inlineStr">
        <is>
          <t xml:space="preserve">4816148179807</t>
        </is>
      </c>
      <c r="Q1166" s="3" t="str">
        <f>HYPERLINK("https://modify.by/img/824747835/1.webp","фото")</f>
        <v>фото</v>
      </c>
      <c r="R1166" s="3" t="str">
        <f>HYPERLINK("https://modify.by/catalog/tolstovki/824747835/?utm_source=price&amp;utm_medium=xlsx","открыть")</f>
        <v>открыть</v>
      </c>
    </row>
    <row r="1167">
      <c r="A1167" t="inlineStr">
        <is>
          <t xml:space="preserve">Мужской</t>
        </is>
      </c>
      <c r="B1167" t="inlineStr">
        <is>
          <t xml:space="preserve">Трусы</t>
        </is>
      </c>
      <c r="C1167" t="inlineStr">
        <is>
          <t xml:space="preserve">Трусы семейные хлопковые, бежевый</t>
        </is>
      </c>
      <c r="D1167" t="inlineStr">
        <is>
          <t xml:space="preserve">YC2231Бежевый</t>
        </is>
      </c>
      <c r="E1167" t="inlineStr">
        <is>
          <t xml:space="preserve">бежевый</t>
        </is>
      </c>
      <c r="F1167" t="inlineStr">
        <is>
          <t xml:space="preserve">52</t>
        </is>
      </c>
      <c r="G1167">
        <v>1</v>
      </c>
      <c r="H1167" s="2">
        <v>14.0</v>
      </c>
      <c r="I1167" t="inlineStr">
        <is>
          <t xml:space="preserve">хлопок 100%</t>
        </is>
      </c>
      <c r="J1167"/>
      <c r="K1167" t="inlineStr">
        <is>
          <t xml:space="preserve">Китай</t>
        </is>
      </c>
      <c r="L1167" t="inlineStr">
        <is>
          <t xml:space="preserve">6207110000</t>
        </is>
      </c>
      <c r="M1167" t="inlineStr">
        <is>
          <t xml:space="preserve">по запросу</t>
        </is>
      </c>
      <c r="N1167"/>
      <c r="O1167"/>
      <c r="P1167" t="inlineStr">
        <is>
          <t xml:space="preserve">2016957042350</t>
        </is>
      </c>
      <c r="Q1167" s="3" t="str">
        <f>HYPERLINK("https://modify.by/img/144062276/1.webp","фото")</f>
        <v>фото</v>
      </c>
      <c r="R1167" s="3" t="str">
        <f>HYPERLINK("https://modify.by/catalog/trusy/144062276/?utm_source=price&amp;utm_medium=xlsx","открыть")</f>
        <v>открыть</v>
      </c>
    </row>
    <row r="1168">
      <c r="A1168" t="inlineStr">
        <is>
          <t xml:space="preserve">Мужской</t>
        </is>
      </c>
      <c r="B1168" t="inlineStr">
        <is>
          <t xml:space="preserve">Трусы</t>
        </is>
      </c>
      <c r="C1168" t="inlineStr">
        <is>
          <t xml:space="preserve">Трусы семейные хлопковые, белый</t>
        </is>
      </c>
      <c r="D1168" t="inlineStr">
        <is>
          <t xml:space="preserve">YC2231Белый;синий</t>
        </is>
      </c>
      <c r="E1168" t="inlineStr">
        <is>
          <t xml:space="preserve">белый, синий</t>
        </is>
      </c>
      <c r="F1168" t="inlineStr">
        <is>
          <t xml:space="preserve">56</t>
        </is>
      </c>
      <c r="G1168">
        <v>1</v>
      </c>
      <c r="H1168" s="2">
        <v>14.0</v>
      </c>
      <c r="I1168" t="inlineStr">
        <is>
          <t xml:space="preserve">хлопок 100%</t>
        </is>
      </c>
      <c r="J1168"/>
      <c r="K1168" t="inlineStr">
        <is>
          <t xml:space="preserve">Китай</t>
        </is>
      </c>
      <c r="L1168" t="inlineStr">
        <is>
          <t xml:space="preserve">6207110000</t>
        </is>
      </c>
      <c r="M1168" t="inlineStr">
        <is>
          <t xml:space="preserve">по запросу</t>
        </is>
      </c>
      <c r="N1168"/>
      <c r="O1168"/>
      <c r="P1168" t="inlineStr">
        <is>
          <t xml:space="preserve">2016957043036</t>
        </is>
      </c>
      <c r="Q1168" s="3" t="str">
        <f>HYPERLINK("https://modify.by/img/144062268/1.webp","фото")</f>
        <v>фото</v>
      </c>
      <c r="R1168" s="3" t="str">
        <f>HYPERLINK("https://modify.by/catalog/trusy/144062268/?utm_source=price&amp;utm_medium=xlsx","открыть")</f>
        <v>открыть</v>
      </c>
    </row>
    <row r="1169">
      <c r="A1169" t="inlineStr">
        <is>
          <t xml:space="preserve">Мужской</t>
        </is>
      </c>
      <c r="B1169" t="inlineStr">
        <is>
          <t xml:space="preserve">Трусы</t>
        </is>
      </c>
      <c r="C1169" t="inlineStr">
        <is>
          <t xml:space="preserve">Трусы семейные хлопковые, желтый</t>
        </is>
      </c>
      <c r="D1169" t="inlineStr">
        <is>
          <t xml:space="preserve">YC2231Желтый;красный</t>
        </is>
      </c>
      <c r="E1169" t="inlineStr">
        <is>
          <t xml:space="preserve">желтый, красный</t>
        </is>
      </c>
      <c r="F1169" t="inlineStr">
        <is>
          <t xml:space="preserve">54</t>
        </is>
      </c>
      <c r="G1169">
        <v>1</v>
      </c>
      <c r="H1169" s="2">
        <v>14.0</v>
      </c>
      <c r="I1169" t="inlineStr">
        <is>
          <t xml:space="preserve">хлопок 100%</t>
        </is>
      </c>
      <c r="J1169"/>
      <c r="K1169" t="inlineStr">
        <is>
          <t xml:space="preserve">Китай</t>
        </is>
      </c>
      <c r="L1169" t="inlineStr">
        <is>
          <t xml:space="preserve">6207110000</t>
        </is>
      </c>
      <c r="M1169" t="inlineStr">
        <is>
          <t xml:space="preserve">по запросу</t>
        </is>
      </c>
      <c r="N1169"/>
      <c r="O1169"/>
      <c r="P1169" t="inlineStr">
        <is>
          <t xml:space="preserve">2016957045375</t>
        </is>
      </c>
      <c r="Q1169" s="3" t="str">
        <f>HYPERLINK("https://modify.by/img/144062254/1.webp","фото")</f>
        <v>фото</v>
      </c>
      <c r="R1169" s="3" t="str">
        <f>HYPERLINK("https://modify.by/catalog/trusy/144062254/?utm_source=price&amp;utm_medium=xlsx","открыть")</f>
        <v>открыть</v>
      </c>
    </row>
    <row r="1170">
      <c r="A1170" t="inlineStr">
        <is>
          <t xml:space="preserve">Мужской</t>
        </is>
      </c>
      <c r="B1170" t="inlineStr">
        <is>
          <t xml:space="preserve">Трусы</t>
        </is>
      </c>
      <c r="C1170" t="inlineStr">
        <is>
          <t xml:space="preserve">Трусы семейные хлопковые, серо-голубой</t>
        </is>
      </c>
      <c r="D1170" t="inlineStr">
        <is>
          <t xml:space="preserve">YC2231Серо-голубой,белый</t>
        </is>
      </c>
      <c r="E1170" t="inlineStr">
        <is>
          <t xml:space="preserve">серо-голубой, белый</t>
        </is>
      </c>
      <c r="F1170" t="inlineStr">
        <is>
          <t xml:space="preserve">54</t>
        </is>
      </c>
      <c r="G1170">
        <v>1</v>
      </c>
      <c r="H1170" s="2">
        <v>14.0</v>
      </c>
      <c r="I1170" t="inlineStr">
        <is>
          <t xml:space="preserve">хлопок 100%</t>
        </is>
      </c>
      <c r="J1170"/>
      <c r="K1170" t="inlineStr">
        <is>
          <t xml:space="preserve">Китай</t>
        </is>
      </c>
      <c r="L1170" t="inlineStr">
        <is>
          <t xml:space="preserve">6207110000</t>
        </is>
      </c>
      <c r="M1170" t="inlineStr">
        <is>
          <t xml:space="preserve">по запросу</t>
        </is>
      </c>
      <c r="N1170" t="inlineStr">
        <is>
          <t xml:space="preserve">20 × 20 × 2</t>
        </is>
      </c>
      <c r="O1170" t="inlineStr">
        <is>
          <t xml:space="preserve">0,1</t>
        </is>
      </c>
      <c r="P1170" t="inlineStr">
        <is>
          <t xml:space="preserve">2038096164786</t>
        </is>
      </c>
      <c r="Q1170" s="3" t="str">
        <f>HYPERLINK("https://modify.by/img/175487707/1.webp","фото")</f>
        <v>фото</v>
      </c>
      <c r="R1170" s="3" t="str">
        <f>HYPERLINK("https://modify.by/catalog/trusy/175487707/?utm_source=price&amp;utm_medium=xlsx","открыть")</f>
        <v>открыть</v>
      </c>
    </row>
    <row r="1171">
      <c r="A1171" t="inlineStr">
        <is>
          <t xml:space="preserve">Мужской</t>
        </is>
      </c>
      <c r="B1171" t="inlineStr">
        <is>
          <t xml:space="preserve">Трусы</t>
        </is>
      </c>
      <c r="C1171" t="inlineStr">
        <is>
          <t xml:space="preserve">Трусы семейные хлопковые, серый</t>
        </is>
      </c>
      <c r="D1171" t="inlineStr">
        <is>
          <t xml:space="preserve">YC2231Серый;оранжевый</t>
        </is>
      </c>
      <c r="E1171" t="inlineStr">
        <is>
          <t xml:space="preserve">серый, оранжевый</t>
        </is>
      </c>
      <c r="F1171" t="inlineStr">
        <is>
          <t xml:space="preserve">48</t>
        </is>
      </c>
      <c r="G1171">
        <v>1</v>
      </c>
      <c r="H1171" s="2">
        <v>14.0</v>
      </c>
      <c r="I1171" t="inlineStr">
        <is>
          <t xml:space="preserve">хлопок 100%</t>
        </is>
      </c>
      <c r="J1171"/>
      <c r="K1171" t="inlineStr">
        <is>
          <t xml:space="preserve">Китай</t>
        </is>
      </c>
      <c r="L1171" t="inlineStr">
        <is>
          <t xml:space="preserve">6207110000</t>
        </is>
      </c>
      <c r="M1171" t="inlineStr">
        <is>
          <t xml:space="preserve">по запросу</t>
        </is>
      </c>
      <c r="N1171"/>
      <c r="O1171"/>
      <c r="P1171" t="inlineStr">
        <is>
          <t xml:space="preserve">2016957045474</t>
        </is>
      </c>
      <c r="Q1171" s="3" t="str">
        <f>HYPERLINK("https://modify.by/img/144062255/1.webp","фото")</f>
        <v>фото</v>
      </c>
      <c r="R1171" s="3" t="str">
        <f>HYPERLINK("https://modify.by/catalog/trusy/144062255/?utm_source=price&amp;utm_medium=xlsx","открыть")</f>
        <v>открыть</v>
      </c>
    </row>
    <row r="1172">
      <c r="A1172" t="inlineStr">
        <is>
          <t xml:space="preserve">Мужской</t>
        </is>
      </c>
      <c r="B1172" t="inlineStr">
        <is>
          <t xml:space="preserve">Трусы</t>
        </is>
      </c>
      <c r="C1172" t="inlineStr">
        <is>
          <t xml:space="preserve">Трусы семейные хлопковые, хаки</t>
        </is>
      </c>
      <c r="D1172" t="inlineStr">
        <is>
          <t xml:space="preserve">YC2231Хаки;белый</t>
        </is>
      </c>
      <c r="E1172" t="inlineStr">
        <is>
          <t xml:space="preserve">хаки, белый, темно-зеленый</t>
        </is>
      </c>
      <c r="F1172" t="inlineStr">
        <is>
          <t xml:space="preserve">48</t>
        </is>
      </c>
      <c r="G1172">
        <v>1</v>
      </c>
      <c r="H1172" s="2">
        <v>14.0</v>
      </c>
      <c r="I1172" t="inlineStr">
        <is>
          <t xml:space="preserve">хлопок 100%</t>
        </is>
      </c>
      <c r="J1172"/>
      <c r="K1172" t="inlineStr">
        <is>
          <t xml:space="preserve">Китай</t>
        </is>
      </c>
      <c r="L1172" t="inlineStr">
        <is>
          <t xml:space="preserve">6207110000</t>
        </is>
      </c>
      <c r="M1172" t="inlineStr">
        <is>
          <t xml:space="preserve">по запросу</t>
        </is>
      </c>
      <c r="N1172" t="inlineStr">
        <is>
          <t xml:space="preserve">20 × 20 × 2</t>
        </is>
      </c>
      <c r="O1172" t="inlineStr">
        <is>
          <t xml:space="preserve">0,1</t>
        </is>
      </c>
      <c r="P1172" t="inlineStr">
        <is>
          <t xml:space="preserve">2016957040462</t>
        </is>
      </c>
      <c r="Q1172" s="3" t="str">
        <f>HYPERLINK("https://modify.by/img/144062286/1.webp","фото")</f>
        <v>фото</v>
      </c>
      <c r="R1172" s="3" t="str">
        <f>HYPERLINK("https://modify.by/catalog/trusy/144062286/?utm_source=price&amp;utm_medium=xlsx","открыть")</f>
        <v>открыть</v>
      </c>
    </row>
    <row r="1173">
      <c r="A1173" t="inlineStr">
        <is>
          <t xml:space="preserve">Мужской</t>
        </is>
      </c>
      <c r="B1173" t="inlineStr">
        <is>
          <t xml:space="preserve">Трусы</t>
        </is>
      </c>
      <c r="C1173" t="inlineStr">
        <is>
          <t xml:space="preserve">Трусы семейные хлопок большого размера</t>
        </is>
      </c>
      <c r="D1173" t="inlineStr">
        <is>
          <t xml:space="preserve">UP3332M012Темно-синий,белый</t>
        </is>
      </c>
      <c r="E1173" t="inlineStr">
        <is>
          <t xml:space="preserve">темно-синий, белый</t>
        </is>
      </c>
      <c r="F1173" t="inlineStr">
        <is>
          <t xml:space="preserve">46</t>
        </is>
      </c>
      <c r="G1173">
        <v>48</v>
      </c>
      <c r="H1173" s="2">
        <v>14.0</v>
      </c>
      <c r="I1173" t="inlineStr">
        <is>
          <t xml:space="preserve">хлопок 100%</t>
        </is>
      </c>
      <c r="J1173"/>
      <c r="K1173" t="inlineStr">
        <is>
          <t xml:space="preserve">Турция</t>
        </is>
      </c>
      <c r="L1173" t="inlineStr">
        <is>
          <t xml:space="preserve">6207110000</t>
        </is>
      </c>
      <c r="M1173" t="inlineStr">
        <is>
          <t xml:space="preserve">по запросу</t>
        </is>
      </c>
      <c r="N1173" t="inlineStr">
        <is>
          <t xml:space="preserve">35 × 30 × 1</t>
        </is>
      </c>
      <c r="O1173" t="inlineStr">
        <is>
          <t xml:space="preserve">0,1</t>
        </is>
      </c>
      <c r="P1173" t="inlineStr">
        <is>
          <t xml:space="preserve">4816148170149</t>
        </is>
      </c>
      <c r="Q1173" s="3" t="str">
        <f>HYPERLINK("https://modify.by/img/168027915/1.webp","фото")</f>
        <v>фото</v>
      </c>
      <c r="R1173" s="3" t="str">
        <f>HYPERLINK("https://modify.by/catalog/trusy/168027915/?utm_source=price&amp;utm_medium=xlsx","открыть")</f>
        <v>открыть</v>
      </c>
    </row>
    <row r="1174">
      <c r="A1174" t="inlineStr">
        <is>
          <t xml:space="preserve">Мужской</t>
        </is>
      </c>
      <c r="B1174" t="inlineStr">
        <is>
          <t xml:space="preserve">Трусы</t>
        </is>
      </c>
      <c r="C1174" t="inlineStr">
        <is>
          <t xml:space="preserve">Трусы семейные хлопок большого размера</t>
        </is>
      </c>
      <c r="D1174" t="inlineStr">
        <is>
          <t xml:space="preserve">UP3332M012Темно-синий,белый</t>
        </is>
      </c>
      <c r="E1174" t="inlineStr">
        <is>
          <t xml:space="preserve">темно-синий, белый</t>
        </is>
      </c>
      <c r="F1174" t="inlineStr">
        <is>
          <t xml:space="preserve">48</t>
        </is>
      </c>
      <c r="G1174">
        <v>60</v>
      </c>
      <c r="H1174" s="2">
        <v>14.0</v>
      </c>
      <c r="I1174" t="inlineStr">
        <is>
          <t xml:space="preserve">хлопок 100%</t>
        </is>
      </c>
      <c r="J1174"/>
      <c r="K1174" t="inlineStr">
        <is>
          <t xml:space="preserve">Турция</t>
        </is>
      </c>
      <c r="L1174" t="inlineStr">
        <is>
          <t xml:space="preserve">6207110000</t>
        </is>
      </c>
      <c r="M1174" t="inlineStr">
        <is>
          <t xml:space="preserve">по запросу</t>
        </is>
      </c>
      <c r="N1174" t="inlineStr">
        <is>
          <t xml:space="preserve">35 × 30 × 1</t>
        </is>
      </c>
      <c r="O1174" t="inlineStr">
        <is>
          <t xml:space="preserve">0,1</t>
        </is>
      </c>
      <c r="P1174" t="inlineStr">
        <is>
          <t xml:space="preserve">2026620746775</t>
        </is>
      </c>
      <c r="Q1174" s="3" t="str">
        <f>HYPERLINK("https://modify.by/img/168027915/1.webp","фото")</f>
        <v>фото</v>
      </c>
      <c r="R1174" s="3" t="str">
        <f>HYPERLINK("https://modify.by/catalog/trusy/168027915/?utm_source=price&amp;utm_medium=xlsx","открыть")</f>
        <v>открыть</v>
      </c>
    </row>
    <row r="1175">
      <c r="A1175" t="inlineStr">
        <is>
          <t xml:space="preserve">Мужской</t>
        </is>
      </c>
      <c r="B1175" t="inlineStr">
        <is>
          <t xml:space="preserve">Трусы</t>
        </is>
      </c>
      <c r="C1175" t="inlineStr">
        <is>
          <t xml:space="preserve">Трусы семейные хлопок большого размера</t>
        </is>
      </c>
      <c r="D1175" t="inlineStr">
        <is>
          <t xml:space="preserve">UP3332M012Темно-синий,белый</t>
        </is>
      </c>
      <c r="E1175" t="inlineStr">
        <is>
          <t xml:space="preserve">темно-синий, белый</t>
        </is>
      </c>
      <c r="F1175" t="inlineStr">
        <is>
          <t xml:space="preserve">48</t>
        </is>
      </c>
      <c r="G1175">
        <v>60</v>
      </c>
      <c r="H1175" s="2">
        <v>14.0</v>
      </c>
      <c r="I1175" t="inlineStr">
        <is>
          <t xml:space="preserve">хлопок 100%</t>
        </is>
      </c>
      <c r="J1175"/>
      <c r="K1175" t="inlineStr">
        <is>
          <t xml:space="preserve">Турция</t>
        </is>
      </c>
      <c r="L1175" t="inlineStr">
        <is>
          <t xml:space="preserve">6207110000</t>
        </is>
      </c>
      <c r="M1175" t="inlineStr">
        <is>
          <t xml:space="preserve">по запросу</t>
        </is>
      </c>
      <c r="N1175" t="inlineStr">
        <is>
          <t xml:space="preserve">35 × 30 × 1</t>
        </is>
      </c>
      <c r="O1175" t="inlineStr">
        <is>
          <t xml:space="preserve">0,1</t>
        </is>
      </c>
      <c r="P1175" t="inlineStr">
        <is>
          <t xml:space="preserve">4816148169228</t>
        </is>
      </c>
      <c r="Q1175" s="3" t="str">
        <f>HYPERLINK("https://modify.by/img/168027915/1.webp","фото")</f>
        <v>фото</v>
      </c>
      <c r="R1175" s="3" t="str">
        <f>HYPERLINK("https://modify.by/catalog/trusy/168027915/?utm_source=price&amp;utm_medium=xlsx","открыть")</f>
        <v>открыть</v>
      </c>
    </row>
    <row r="1176">
      <c r="A1176" t="inlineStr">
        <is>
          <t xml:space="preserve">Мужской</t>
        </is>
      </c>
      <c r="B1176" t="inlineStr">
        <is>
          <t xml:space="preserve">Трусы</t>
        </is>
      </c>
      <c r="C1176" t="inlineStr">
        <is>
          <t xml:space="preserve">Трусы семейные хлопок, синий</t>
        </is>
      </c>
      <c r="D1176" t="inlineStr">
        <is>
          <t xml:space="preserve">UP3332M011Синий</t>
        </is>
      </c>
      <c r="E1176" t="inlineStr">
        <is>
          <t xml:space="preserve">синий</t>
        </is>
      </c>
      <c r="F1176" t="inlineStr">
        <is>
          <t xml:space="preserve">50</t>
        </is>
      </c>
      <c r="G1176">
        <v>1</v>
      </c>
      <c r="H1176" s="2">
        <v>14.0</v>
      </c>
      <c r="I1176" t="inlineStr">
        <is>
          <t xml:space="preserve">хлопок 100%</t>
        </is>
      </c>
      <c r="J1176"/>
      <c r="K1176" t="inlineStr">
        <is>
          <t xml:space="preserve">Турция</t>
        </is>
      </c>
      <c r="L1176" t="inlineStr">
        <is>
          <t xml:space="preserve">6207110000</t>
        </is>
      </c>
      <c r="M1176" t="inlineStr">
        <is>
          <t xml:space="preserve">по запросу</t>
        </is>
      </c>
      <c r="N1176" t="inlineStr">
        <is>
          <t xml:space="preserve">35 × 30 × 1</t>
        </is>
      </c>
      <c r="O1176" t="inlineStr">
        <is>
          <t xml:space="preserve">0,15</t>
        </is>
      </c>
      <c r="P1176" t="inlineStr">
        <is>
          <t xml:space="preserve">2026620747031</t>
        </is>
      </c>
      <c r="Q1176" s="3" t="str">
        <f>HYPERLINK("https://modify.by/img/168027657/1.webp","фото")</f>
        <v>фото</v>
      </c>
      <c r="R1176" s="3" t="str">
        <f>HYPERLINK("https://modify.by/catalog/trusy/168027657/?utm_source=price&amp;utm_medium=xlsx","открыть")</f>
        <v>открыть</v>
      </c>
    </row>
    <row r="1177">
      <c r="A1177" t="inlineStr">
        <is>
          <t xml:space="preserve">Мужской</t>
        </is>
      </c>
      <c r="B1177" t="inlineStr">
        <is>
          <t xml:space="preserve">Трусы</t>
        </is>
      </c>
      <c r="C1177" t="inlineStr">
        <is>
          <t xml:space="preserve">Трусы семейные хлопок, синий</t>
        </is>
      </c>
      <c r="D1177" t="inlineStr">
        <is>
          <t xml:space="preserve">UP3332M011Синий</t>
        </is>
      </c>
      <c r="E1177" t="inlineStr">
        <is>
          <t xml:space="preserve">синий</t>
        </is>
      </c>
      <c r="F1177" t="inlineStr">
        <is>
          <t xml:space="preserve">50</t>
        </is>
      </c>
      <c r="G1177">
        <v>1</v>
      </c>
      <c r="H1177" s="2">
        <v>14.0</v>
      </c>
      <c r="I1177" t="inlineStr">
        <is>
          <t xml:space="preserve">хлопок 100%</t>
        </is>
      </c>
      <c r="J1177"/>
      <c r="K1177" t="inlineStr">
        <is>
          <t xml:space="preserve">Турция</t>
        </is>
      </c>
      <c r="L1177" t="inlineStr">
        <is>
          <t xml:space="preserve">6207110000</t>
        </is>
      </c>
      <c r="M1177" t="inlineStr">
        <is>
          <t xml:space="preserve">по запросу</t>
        </is>
      </c>
      <c r="N1177" t="inlineStr">
        <is>
          <t xml:space="preserve">35 × 30 × 1</t>
        </is>
      </c>
      <c r="O1177" t="inlineStr">
        <is>
          <t xml:space="preserve">0,15</t>
        </is>
      </c>
      <c r="P1177" t="inlineStr">
        <is>
          <t xml:space="preserve">4816148169266</t>
        </is>
      </c>
      <c r="Q1177" s="3" t="str">
        <f>HYPERLINK("https://modify.by/img/168027657/1.webp","фото")</f>
        <v>фото</v>
      </c>
      <c r="R1177" s="3" t="str">
        <f>HYPERLINK("https://modify.by/catalog/trusy/168027657/?utm_source=price&amp;utm_medium=xlsx","открыть")</f>
        <v>открыть</v>
      </c>
    </row>
    <row r="1178">
      <c r="A1178" t="inlineStr">
        <is>
          <t xml:space="preserve">Мужской</t>
        </is>
      </c>
      <c r="B1178" t="inlineStr">
        <is>
          <t xml:space="preserve">Трусы</t>
        </is>
      </c>
      <c r="C1178" t="inlineStr">
        <is>
          <t xml:space="preserve">Трусы семейные хлопок, синий</t>
        </is>
      </c>
      <c r="D1178" t="inlineStr">
        <is>
          <t xml:space="preserve">UP3332M011Синий</t>
        </is>
      </c>
      <c r="E1178" t="inlineStr">
        <is>
          <t xml:space="preserve">синий</t>
        </is>
      </c>
      <c r="F1178" t="inlineStr">
        <is>
          <t xml:space="preserve">56</t>
        </is>
      </c>
      <c r="G1178">
        <v>1</v>
      </c>
      <c r="H1178" s="2">
        <v>14.0</v>
      </c>
      <c r="I1178" t="inlineStr">
        <is>
          <t xml:space="preserve">хлопок 100%</t>
        </is>
      </c>
      <c r="J1178"/>
      <c r="K1178" t="inlineStr">
        <is>
          <t xml:space="preserve">Турция</t>
        </is>
      </c>
      <c r="L1178" t="inlineStr">
        <is>
          <t xml:space="preserve">6207110000</t>
        </is>
      </c>
      <c r="M1178" t="inlineStr">
        <is>
          <t xml:space="preserve">по запросу</t>
        </is>
      </c>
      <c r="N1178" t="inlineStr">
        <is>
          <t xml:space="preserve">35 × 30 × 1</t>
        </is>
      </c>
      <c r="O1178" t="inlineStr">
        <is>
          <t xml:space="preserve">0,15</t>
        </is>
      </c>
      <c r="P1178" t="inlineStr">
        <is>
          <t xml:space="preserve">2026620747000</t>
        </is>
      </c>
      <c r="Q1178" s="3" t="str">
        <f>HYPERLINK("https://modify.by/img/168027657/1.webp","фото")</f>
        <v>фото</v>
      </c>
      <c r="R1178" s="3" t="str">
        <f>HYPERLINK("https://modify.by/catalog/trusy/168027657/?utm_source=price&amp;utm_medium=xlsx","открыть")</f>
        <v>открыть</v>
      </c>
    </row>
    <row r="1179">
      <c r="A1179" t="inlineStr">
        <is>
          <t xml:space="preserve">Мужской</t>
        </is>
      </c>
      <c r="B1179" t="inlineStr">
        <is>
          <t xml:space="preserve">Трусы</t>
        </is>
      </c>
      <c r="C1179" t="inlineStr">
        <is>
          <t xml:space="preserve">Трусы семейные хлопок, темно-синий</t>
        </is>
      </c>
      <c r="D1179" t="inlineStr">
        <is>
          <t xml:space="preserve">UP3332M012Темно-синий,белый,красный</t>
        </is>
      </c>
      <c r="E1179" t="inlineStr">
        <is>
          <t xml:space="preserve">темно-синий, белый, красный</t>
        </is>
      </c>
      <c r="F1179" t="inlineStr">
        <is>
          <t xml:space="preserve">46</t>
        </is>
      </c>
      <c r="G1179">
        <v>32</v>
      </c>
      <c r="H1179" s="2">
        <v>14.0</v>
      </c>
      <c r="I1179" t="inlineStr">
        <is>
          <t xml:space="preserve">хлопок 100%</t>
        </is>
      </c>
      <c r="J1179"/>
      <c r="K1179" t="inlineStr">
        <is>
          <t xml:space="preserve">Турция</t>
        </is>
      </c>
      <c r="L1179" t="inlineStr">
        <is>
          <t xml:space="preserve">6207110000</t>
        </is>
      </c>
      <c r="M1179" t="inlineStr">
        <is>
          <t xml:space="preserve">по запросу</t>
        </is>
      </c>
      <c r="N1179" t="inlineStr">
        <is>
          <t xml:space="preserve">35 × 30 × 1</t>
        </is>
      </c>
      <c r="O1179" t="inlineStr">
        <is>
          <t xml:space="preserve">0,1</t>
        </is>
      </c>
      <c r="P1179" t="inlineStr">
        <is>
          <t xml:space="preserve">2026620746836</t>
        </is>
      </c>
      <c r="Q1179" s="3" t="str">
        <f>HYPERLINK("https://modify.by/img/168027907/1.webp","фото")</f>
        <v>фото</v>
      </c>
      <c r="R1179" s="3" t="str">
        <f>HYPERLINK("https://modify.by/catalog/trusy/168027907/?utm_source=price&amp;utm_medium=xlsx","открыть")</f>
        <v>открыть</v>
      </c>
    </row>
    <row r="1180">
      <c r="A1180" t="inlineStr">
        <is>
          <t xml:space="preserve">Мужской</t>
        </is>
      </c>
      <c r="B1180" t="inlineStr">
        <is>
          <t xml:space="preserve">Трусы</t>
        </is>
      </c>
      <c r="C1180" t="inlineStr">
        <is>
          <t xml:space="preserve">Трусы семейные хлопок, темно-синий</t>
        </is>
      </c>
      <c r="D1180" t="inlineStr">
        <is>
          <t xml:space="preserve">UP3332M012Темно-синий,белый,красный</t>
        </is>
      </c>
      <c r="E1180" t="inlineStr">
        <is>
          <t xml:space="preserve">темно-синий, белый, красный</t>
        </is>
      </c>
      <c r="F1180" t="inlineStr">
        <is>
          <t xml:space="preserve">46</t>
        </is>
      </c>
      <c r="G1180">
        <v>32</v>
      </c>
      <c r="H1180" s="2">
        <v>14.0</v>
      </c>
      <c r="I1180" t="inlineStr">
        <is>
          <t xml:space="preserve">хлопок 100%</t>
        </is>
      </c>
      <c r="J1180"/>
      <c r="K1180" t="inlineStr">
        <is>
          <t xml:space="preserve">Турция</t>
        </is>
      </c>
      <c r="L1180" t="inlineStr">
        <is>
          <t xml:space="preserve">6207110000</t>
        </is>
      </c>
      <c r="M1180" t="inlineStr">
        <is>
          <t xml:space="preserve">по запросу</t>
        </is>
      </c>
      <c r="N1180" t="inlineStr">
        <is>
          <t xml:space="preserve">35 × 30 × 1</t>
        </is>
      </c>
      <c r="O1180" t="inlineStr">
        <is>
          <t xml:space="preserve">0,1</t>
        </is>
      </c>
      <c r="P1180" t="inlineStr">
        <is>
          <t xml:space="preserve">4816148170095</t>
        </is>
      </c>
      <c r="Q1180" s="3" t="str">
        <f>HYPERLINK("https://modify.by/img/168027907/1.webp","фото")</f>
        <v>фото</v>
      </c>
      <c r="R1180" s="3" t="str">
        <f>HYPERLINK("https://modify.by/catalog/trusy/168027907/?utm_source=price&amp;utm_medium=xlsx","открыть")</f>
        <v>открыть</v>
      </c>
    </row>
    <row r="1181">
      <c r="A1181" t="inlineStr">
        <is>
          <t xml:space="preserve">Мужской</t>
        </is>
      </c>
      <c r="B1181" t="inlineStr">
        <is>
          <t xml:space="preserve">Трусы</t>
        </is>
      </c>
      <c r="C1181" t="inlineStr">
        <is>
          <t xml:space="preserve">Трусы семейные хлопок, темно-синий</t>
        </is>
      </c>
      <c r="D1181" t="inlineStr">
        <is>
          <t xml:space="preserve">UP3332M012Темно-синий,белый,красный</t>
        </is>
      </c>
      <c r="E1181" t="inlineStr">
        <is>
          <t xml:space="preserve">темно-синий, белый, красный</t>
        </is>
      </c>
      <c r="F1181" t="inlineStr">
        <is>
          <t xml:space="preserve">48</t>
        </is>
      </c>
      <c r="G1181">
        <v>54</v>
      </c>
      <c r="H1181" s="2">
        <v>14.0</v>
      </c>
      <c r="I1181" t="inlineStr">
        <is>
          <t xml:space="preserve">хлопок 100%</t>
        </is>
      </c>
      <c r="J1181"/>
      <c r="K1181" t="inlineStr">
        <is>
          <t xml:space="preserve">Турция</t>
        </is>
      </c>
      <c r="L1181" t="inlineStr">
        <is>
          <t xml:space="preserve">6207110000</t>
        </is>
      </c>
      <c r="M1181" t="inlineStr">
        <is>
          <t xml:space="preserve">по запросу</t>
        </is>
      </c>
      <c r="N1181" t="inlineStr">
        <is>
          <t xml:space="preserve">35 × 30 × 1</t>
        </is>
      </c>
      <c r="O1181" t="inlineStr">
        <is>
          <t xml:space="preserve">0,1</t>
        </is>
      </c>
      <c r="P1181" t="inlineStr">
        <is>
          <t xml:space="preserve">2026620746829</t>
        </is>
      </c>
      <c r="Q1181" s="3" t="str">
        <f>HYPERLINK("https://modify.by/img/168027907/1.webp","фото")</f>
        <v>фото</v>
      </c>
      <c r="R1181" s="3" t="str">
        <f>HYPERLINK("https://modify.by/catalog/trusy/168027907/?utm_source=price&amp;utm_medium=xlsx","открыть")</f>
        <v>открыть</v>
      </c>
    </row>
    <row r="1182">
      <c r="A1182" t="inlineStr">
        <is>
          <t xml:space="preserve">Мужской</t>
        </is>
      </c>
      <c r="B1182" t="inlineStr">
        <is>
          <t xml:space="preserve">Трусы</t>
        </is>
      </c>
      <c r="C1182" t="inlineStr">
        <is>
          <t xml:space="preserve">Трусы семейные хлопок, темно-синий</t>
        </is>
      </c>
      <c r="D1182" t="inlineStr">
        <is>
          <t xml:space="preserve">UP3332M012Темно-синий,белый,красный</t>
        </is>
      </c>
      <c r="E1182" t="inlineStr">
        <is>
          <t xml:space="preserve">темно-синий, белый, красный</t>
        </is>
      </c>
      <c r="F1182" t="inlineStr">
        <is>
          <t xml:space="preserve">48</t>
        </is>
      </c>
      <c r="G1182">
        <v>54</v>
      </c>
      <c r="H1182" s="2">
        <v>14.0</v>
      </c>
      <c r="I1182" t="inlineStr">
        <is>
          <t xml:space="preserve">хлопок 100%</t>
        </is>
      </c>
      <c r="J1182"/>
      <c r="K1182" t="inlineStr">
        <is>
          <t xml:space="preserve">Турция</t>
        </is>
      </c>
      <c r="L1182" t="inlineStr">
        <is>
          <t xml:space="preserve">6207110000</t>
        </is>
      </c>
      <c r="M1182" t="inlineStr">
        <is>
          <t xml:space="preserve">по запросу</t>
        </is>
      </c>
      <c r="N1182" t="inlineStr">
        <is>
          <t xml:space="preserve">35 × 30 × 1</t>
        </is>
      </c>
      <c r="O1182" t="inlineStr">
        <is>
          <t xml:space="preserve">0,1</t>
        </is>
      </c>
      <c r="P1182" t="inlineStr">
        <is>
          <t xml:space="preserve">4816148169235</t>
        </is>
      </c>
      <c r="Q1182" s="3" t="str">
        <f>HYPERLINK("https://modify.by/img/168027907/1.webp","фото")</f>
        <v>фото</v>
      </c>
      <c r="R1182" s="3" t="str">
        <f>HYPERLINK("https://modify.by/catalog/trusy/168027907/?utm_source=price&amp;utm_medium=xlsx","открыть")</f>
        <v>открыть</v>
      </c>
    </row>
    <row r="1183">
      <c r="A1183" t="inlineStr">
        <is>
          <t xml:space="preserve">Мужской</t>
        </is>
      </c>
      <c r="B1183" t="inlineStr">
        <is>
          <t xml:space="preserve">Футболки</t>
        </is>
      </c>
      <c r="C1183" t="inlineStr">
        <is>
          <t xml:space="preserve">Футболка из плотного 100% хлопка</t>
        </is>
      </c>
      <c r="D1183" t="inlineStr">
        <is>
          <t xml:space="preserve">SS52M01Темно-серый</t>
        </is>
      </c>
      <c r="E1183" t="inlineStr">
        <is>
          <t xml:space="preserve">серо-синий</t>
        </is>
      </c>
      <c r="F1183" t="inlineStr">
        <is>
          <t xml:space="preserve">46</t>
        </is>
      </c>
      <c r="G1183">
        <v>27</v>
      </c>
      <c r="H1183" s="2">
        <v>21.0</v>
      </c>
      <c r="I1183" t="inlineStr">
        <is>
          <t xml:space="preserve">хлопок 100%</t>
        </is>
      </c>
      <c r="J1183"/>
      <c r="K1183" t="inlineStr">
        <is>
          <t xml:space="preserve">Бангладеш</t>
        </is>
      </c>
      <c r="L1183" t="inlineStr">
        <is>
          <t xml:space="preserve">6207910000</t>
        </is>
      </c>
      <c r="M1183" t="inlineStr">
        <is>
          <t xml:space="preserve">Декларация № ЕАЭС № BY/112 11.01. ТР017 122.01 08246, до 19.04.2028</t>
        </is>
      </c>
      <c r="N1183" t="inlineStr">
        <is>
          <t xml:space="preserve">30 × 20 × 2</t>
        </is>
      </c>
      <c r="O1183" t="inlineStr">
        <is>
          <t xml:space="preserve">0,25</t>
        </is>
      </c>
      <c r="P1183" t="inlineStr">
        <is>
          <t xml:space="preserve">4816148165190</t>
        </is>
      </c>
      <c r="Q1183" s="3" t="str">
        <f>HYPERLINK("https://modify.by/img/398549563/1.webp","фото")</f>
        <v>фото</v>
      </c>
      <c r="R1183" s="3" t="str">
        <f>HYPERLINK("https://modify.by/catalog/futbolki/398549563/?utm_source=price&amp;utm_medium=xlsx","открыть")</f>
        <v>открыть</v>
      </c>
    </row>
    <row r="1184">
      <c r="A1184" t="inlineStr">
        <is>
          <t xml:space="preserve">Мужской</t>
        </is>
      </c>
      <c r="B1184" t="inlineStr">
        <is>
          <t xml:space="preserve">Футболки</t>
        </is>
      </c>
      <c r="C1184" t="inlineStr">
        <is>
          <t xml:space="preserve">Футболка из плотного 100% хлопка</t>
        </is>
      </c>
      <c r="D1184" t="inlineStr">
        <is>
          <t xml:space="preserve">SS52M01Темно-серый</t>
        </is>
      </c>
      <c r="E1184" t="inlineStr">
        <is>
          <t xml:space="preserve">серо-синий</t>
        </is>
      </c>
      <c r="F1184" t="inlineStr">
        <is>
          <t xml:space="preserve">48</t>
        </is>
      </c>
      <c r="G1184">
        <v>18</v>
      </c>
      <c r="H1184" s="2">
        <v>21.0</v>
      </c>
      <c r="I1184" t="inlineStr">
        <is>
          <t xml:space="preserve">хлопок 100%</t>
        </is>
      </c>
      <c r="J1184"/>
      <c r="K1184" t="inlineStr">
        <is>
          <t xml:space="preserve">Бангладеш</t>
        </is>
      </c>
      <c r="L1184" t="inlineStr">
        <is>
          <t xml:space="preserve">6207910000</t>
        </is>
      </c>
      <c r="M1184" t="inlineStr">
        <is>
          <t xml:space="preserve">Декларация № ЕАЭС № BY/112 11.01. ТР017 122.01 08246, до 19.04.2028</t>
        </is>
      </c>
      <c r="N1184" t="inlineStr">
        <is>
          <t xml:space="preserve">30 × 20 × 2</t>
        </is>
      </c>
      <c r="O1184" t="inlineStr">
        <is>
          <t xml:space="preserve">0,25</t>
        </is>
      </c>
      <c r="P1184" t="inlineStr">
        <is>
          <t xml:space="preserve">4816148165206</t>
        </is>
      </c>
      <c r="Q1184" s="3" t="str">
        <f>HYPERLINK("https://modify.by/img/398549563/1.webp","фото")</f>
        <v>фото</v>
      </c>
      <c r="R1184" s="3" t="str">
        <f>HYPERLINK("https://modify.by/catalog/futbolki/398549563/?utm_source=price&amp;utm_medium=xlsx","открыть")</f>
        <v>открыть</v>
      </c>
    </row>
    <row r="1185">
      <c r="A1185" t="inlineStr">
        <is>
          <t xml:space="preserve">Мужской</t>
        </is>
      </c>
      <c r="B1185" t="inlineStr">
        <is>
          <t xml:space="preserve">Футболки</t>
        </is>
      </c>
      <c r="C1185" t="inlineStr">
        <is>
          <t xml:space="preserve">Футболка из плотного 100% хлопка</t>
        </is>
      </c>
      <c r="D1185" t="inlineStr">
        <is>
          <t xml:space="preserve">SS52M01Темно-серый</t>
        </is>
      </c>
      <c r="E1185" t="inlineStr">
        <is>
          <t xml:space="preserve">серо-синий</t>
        </is>
      </c>
      <c r="F1185" t="inlineStr">
        <is>
          <t xml:space="preserve">50</t>
        </is>
      </c>
      <c r="G1185">
        <v>7</v>
      </c>
      <c r="H1185" s="2">
        <v>21.0</v>
      </c>
      <c r="I1185" t="inlineStr">
        <is>
          <t xml:space="preserve">хлопок 100%</t>
        </is>
      </c>
      <c r="J1185"/>
      <c r="K1185" t="inlineStr">
        <is>
          <t xml:space="preserve">Бангладеш</t>
        </is>
      </c>
      <c r="L1185" t="inlineStr">
        <is>
          <t xml:space="preserve">6207910000</t>
        </is>
      </c>
      <c r="M1185" t="inlineStr">
        <is>
          <t xml:space="preserve">Декларация № ЕАЭС № BY/112 11.01. ТР017 122.01 08246, до 19.04.2028</t>
        </is>
      </c>
      <c r="N1185" t="inlineStr">
        <is>
          <t xml:space="preserve">30 × 20 × 2</t>
        </is>
      </c>
      <c r="O1185" t="inlineStr">
        <is>
          <t xml:space="preserve">0,25</t>
        </is>
      </c>
      <c r="P1185" t="inlineStr">
        <is>
          <t xml:space="preserve">4816148165213</t>
        </is>
      </c>
      <c r="Q1185" s="3" t="str">
        <f>HYPERLINK("https://modify.by/img/398549563/1.webp","фото")</f>
        <v>фото</v>
      </c>
      <c r="R1185" s="3" t="str">
        <f>HYPERLINK("https://modify.by/catalog/futbolki/398549563/?utm_source=price&amp;utm_medium=xlsx","открыть")</f>
        <v>открыть</v>
      </c>
    </row>
    <row r="1186">
      <c r="A1186" t="inlineStr">
        <is>
          <t xml:space="preserve">Мужской</t>
        </is>
      </c>
      <c r="B1186" t="inlineStr">
        <is>
          <t xml:space="preserve">Футболки</t>
        </is>
      </c>
      <c r="C1186" t="inlineStr">
        <is>
          <t xml:space="preserve">Футболка из плотного 100% хлопка</t>
        </is>
      </c>
      <c r="D1186" t="inlineStr">
        <is>
          <t xml:space="preserve">SS52M01Темно-серый</t>
        </is>
      </c>
      <c r="E1186" t="inlineStr">
        <is>
          <t xml:space="preserve">серо-синий</t>
        </is>
      </c>
      <c r="F1186" t="inlineStr">
        <is>
          <t xml:space="preserve">52</t>
        </is>
      </c>
      <c r="G1186">
        <v>5</v>
      </c>
      <c r="H1186" s="2">
        <v>21.0</v>
      </c>
      <c r="I1186" t="inlineStr">
        <is>
          <t xml:space="preserve">хлопок 100%</t>
        </is>
      </c>
      <c r="J1186"/>
      <c r="K1186" t="inlineStr">
        <is>
          <t xml:space="preserve">Бангладеш</t>
        </is>
      </c>
      <c r="L1186" t="inlineStr">
        <is>
          <t xml:space="preserve">6207910000</t>
        </is>
      </c>
      <c r="M1186" t="inlineStr">
        <is>
          <t xml:space="preserve">Декларация № ЕАЭС № BY/112 11.01. ТР017 122.01 08246, до 19.04.2028</t>
        </is>
      </c>
      <c r="N1186" t="inlineStr">
        <is>
          <t xml:space="preserve">30 × 20 × 2</t>
        </is>
      </c>
      <c r="O1186" t="inlineStr">
        <is>
          <t xml:space="preserve">0,25</t>
        </is>
      </c>
      <c r="P1186" t="inlineStr">
        <is>
          <t xml:space="preserve">4816148165220</t>
        </is>
      </c>
      <c r="Q1186" s="3" t="str">
        <f>HYPERLINK("https://modify.by/img/398549563/1.webp","фото")</f>
        <v>фото</v>
      </c>
      <c r="R1186" s="3" t="str">
        <f>HYPERLINK("https://modify.by/catalog/futbolki/398549563/?utm_source=price&amp;utm_medium=xlsx","открыть")</f>
        <v>открыть</v>
      </c>
    </row>
    <row r="1187">
      <c r="A1187" t="inlineStr">
        <is>
          <t xml:space="preserve">Мужской</t>
        </is>
      </c>
      <c r="B1187" t="inlineStr">
        <is>
          <t xml:space="preserve">Футболки</t>
        </is>
      </c>
      <c r="C1187" t="inlineStr">
        <is>
          <t xml:space="preserve">Футболка из плотного 100% хлопка с принтом камуфляж</t>
        </is>
      </c>
      <c r="D1187" t="inlineStr">
        <is>
          <t xml:space="preserve">SS52M01Красный,черный,белый</t>
        </is>
      </c>
      <c r="E1187" t="inlineStr">
        <is>
          <t xml:space="preserve">красный, черный, белый, коричневый</t>
        </is>
      </c>
      <c r="F1187" t="inlineStr">
        <is>
          <t xml:space="preserve">46</t>
        </is>
      </c>
      <c r="G1187">
        <v>8</v>
      </c>
      <c r="H1187" s="2">
        <v>21.0</v>
      </c>
      <c r="I1187" t="inlineStr">
        <is>
          <t xml:space="preserve">хлопок 100%</t>
        </is>
      </c>
      <c r="J1187"/>
      <c r="K1187" t="inlineStr">
        <is>
          <t xml:space="preserve">Бангладеш</t>
        </is>
      </c>
      <c r="L1187" t="inlineStr">
        <is>
          <t xml:space="preserve">6207910000</t>
        </is>
      </c>
      <c r="M1187" t="inlineStr">
        <is>
          <t xml:space="preserve">Декларация № ЕАЭС № BY/112 11.01. ТР017 122.01 08246, до 19.04.2028</t>
        </is>
      </c>
      <c r="N1187" t="inlineStr">
        <is>
          <t xml:space="preserve">30 × 20 × 2</t>
        </is>
      </c>
      <c r="O1187" t="inlineStr">
        <is>
          <t xml:space="preserve">0,25</t>
        </is>
      </c>
      <c r="P1187" t="inlineStr">
        <is>
          <t xml:space="preserve">4816148165244</t>
        </is>
      </c>
      <c r="Q1187" s="3" t="str">
        <f>HYPERLINK("https://modify.by/img/398546439/1.webp","фото")</f>
        <v>фото</v>
      </c>
      <c r="R1187" s="3" t="str">
        <f>HYPERLINK("https://modify.by/catalog/futbolki/398546439/?utm_source=price&amp;utm_medium=xlsx","открыть")</f>
        <v>открыть</v>
      </c>
    </row>
    <row r="1188">
      <c r="A1188" t="inlineStr">
        <is>
          <t xml:space="preserve">Мужской</t>
        </is>
      </c>
      <c r="B1188" t="inlineStr">
        <is>
          <t xml:space="preserve">Футболки</t>
        </is>
      </c>
      <c r="C1188" t="inlineStr">
        <is>
          <t xml:space="preserve">Футболка из плотного 100% хлопка с принтом камуфляж</t>
        </is>
      </c>
      <c r="D1188" t="inlineStr">
        <is>
          <t xml:space="preserve">SS52M01Красный,черный,белый</t>
        </is>
      </c>
      <c r="E1188" t="inlineStr">
        <is>
          <t xml:space="preserve">красный, черный, белый, коричневый</t>
        </is>
      </c>
      <c r="F1188" t="inlineStr">
        <is>
          <t xml:space="preserve">48</t>
        </is>
      </c>
      <c r="G1188">
        <v>114</v>
      </c>
      <c r="H1188" s="2">
        <v>21.0</v>
      </c>
      <c r="I1188" t="inlineStr">
        <is>
          <t xml:space="preserve">хлопок 100%</t>
        </is>
      </c>
      <c r="J1188"/>
      <c r="K1188" t="inlineStr">
        <is>
          <t xml:space="preserve">Бангладеш</t>
        </is>
      </c>
      <c r="L1188" t="inlineStr">
        <is>
          <t xml:space="preserve">6207910000</t>
        </is>
      </c>
      <c r="M1188" t="inlineStr">
        <is>
          <t xml:space="preserve">Декларация № ЕАЭС № BY/112 11.01. ТР017 122.01 08246, до 19.04.2028</t>
        </is>
      </c>
      <c r="N1188" t="inlineStr">
        <is>
          <t xml:space="preserve">30 × 20 × 2</t>
        </is>
      </c>
      <c r="O1188" t="inlineStr">
        <is>
          <t xml:space="preserve">0,25</t>
        </is>
      </c>
      <c r="P1188" t="inlineStr">
        <is>
          <t xml:space="preserve">4816148165251</t>
        </is>
      </c>
      <c r="Q1188" s="3" t="str">
        <f>HYPERLINK("https://modify.by/img/398546439/1.webp","фото")</f>
        <v>фото</v>
      </c>
      <c r="R1188" s="3" t="str">
        <f>HYPERLINK("https://modify.by/catalog/futbolki/398546439/?utm_source=price&amp;utm_medium=xlsx","открыть")</f>
        <v>открыть</v>
      </c>
    </row>
    <row r="1189">
      <c r="A1189" t="inlineStr">
        <is>
          <t xml:space="preserve">Мужской</t>
        </is>
      </c>
      <c r="B1189" t="inlineStr">
        <is>
          <t xml:space="preserve">Футболки</t>
        </is>
      </c>
      <c r="C1189" t="inlineStr">
        <is>
          <t xml:space="preserve">Футболка из плотного 100% хлопка с принтом камуфляж</t>
        </is>
      </c>
      <c r="D1189" t="inlineStr">
        <is>
          <t xml:space="preserve">SS52M01Красный,черный,белый</t>
        </is>
      </c>
      <c r="E1189" t="inlineStr">
        <is>
          <t xml:space="preserve">красный, черный, белый, коричневый</t>
        </is>
      </c>
      <c r="F1189" t="inlineStr">
        <is>
          <t xml:space="preserve">50</t>
        </is>
      </c>
      <c r="G1189">
        <v>27</v>
      </c>
      <c r="H1189" s="2">
        <v>21.0</v>
      </c>
      <c r="I1189" t="inlineStr">
        <is>
          <t xml:space="preserve">хлопок 100%</t>
        </is>
      </c>
      <c r="J1189"/>
      <c r="K1189" t="inlineStr">
        <is>
          <t xml:space="preserve">Бангладеш</t>
        </is>
      </c>
      <c r="L1189" t="inlineStr">
        <is>
          <t xml:space="preserve">6207910000</t>
        </is>
      </c>
      <c r="M1189" t="inlineStr">
        <is>
          <t xml:space="preserve">Декларация № ЕАЭС № BY/112 11.01. ТР017 122.01 08246, до 19.04.2028</t>
        </is>
      </c>
      <c r="N1189" t="inlineStr">
        <is>
          <t xml:space="preserve">30 × 20 × 2</t>
        </is>
      </c>
      <c r="O1189" t="inlineStr">
        <is>
          <t xml:space="preserve">0,25</t>
        </is>
      </c>
      <c r="P1189" t="inlineStr">
        <is>
          <t xml:space="preserve">4816148165268</t>
        </is>
      </c>
      <c r="Q1189" s="3" t="str">
        <f>HYPERLINK("https://modify.by/img/398546439/1.webp","фото")</f>
        <v>фото</v>
      </c>
      <c r="R1189" s="3" t="str">
        <f>HYPERLINK("https://modify.by/catalog/futbolki/398546439/?utm_source=price&amp;utm_medium=xlsx","открыть")</f>
        <v>открыть</v>
      </c>
    </row>
    <row r="1190">
      <c r="A1190" t="inlineStr">
        <is>
          <t xml:space="preserve">Мужской</t>
        </is>
      </c>
      <c r="B1190" t="inlineStr">
        <is>
          <t xml:space="preserve">Футболки</t>
        </is>
      </c>
      <c r="C1190" t="inlineStr">
        <is>
          <t xml:space="preserve">Футболка из плотного 100% хлопка с принтом камуфляж</t>
        </is>
      </c>
      <c r="D1190" t="inlineStr">
        <is>
          <t xml:space="preserve">SS52M01Красный,черный,белый</t>
        </is>
      </c>
      <c r="E1190" t="inlineStr">
        <is>
          <t xml:space="preserve">красный, черный, белый, коричневый</t>
        </is>
      </c>
      <c r="F1190" t="inlineStr">
        <is>
          <t xml:space="preserve">52</t>
        </is>
      </c>
      <c r="G1190">
        <v>46</v>
      </c>
      <c r="H1190" s="2">
        <v>21.0</v>
      </c>
      <c r="I1190" t="inlineStr">
        <is>
          <t xml:space="preserve">хлопок 100%</t>
        </is>
      </c>
      <c r="J1190"/>
      <c r="K1190" t="inlineStr">
        <is>
          <t xml:space="preserve">Бангладеш</t>
        </is>
      </c>
      <c r="L1190" t="inlineStr">
        <is>
          <t xml:space="preserve">6207910000</t>
        </is>
      </c>
      <c r="M1190" t="inlineStr">
        <is>
          <t xml:space="preserve">Декларация № ЕАЭС № BY/112 11.01. ТР017 122.01 08246, до 19.04.2028</t>
        </is>
      </c>
      <c r="N1190" t="inlineStr">
        <is>
          <t xml:space="preserve">30 × 20 × 2</t>
        </is>
      </c>
      <c r="O1190" t="inlineStr">
        <is>
          <t xml:space="preserve">0,25</t>
        </is>
      </c>
      <c r="P1190" t="inlineStr">
        <is>
          <t xml:space="preserve">4816148165275</t>
        </is>
      </c>
      <c r="Q1190" s="3" t="str">
        <f>HYPERLINK("https://modify.by/img/398546439/1.webp","фото")</f>
        <v>фото</v>
      </c>
      <c r="R1190" s="3" t="str">
        <f>HYPERLINK("https://modify.by/catalog/futbolki/398546439/?utm_source=price&amp;utm_medium=xlsx","открыть")</f>
        <v>открыть</v>
      </c>
    </row>
    <row r="1191">
      <c r="A1191" t="inlineStr">
        <is>
          <t xml:space="preserve">Мужской</t>
        </is>
      </c>
      <c r="B1191" t="inlineStr">
        <is>
          <t xml:space="preserve">Футболки</t>
        </is>
      </c>
      <c r="C1191" t="inlineStr">
        <is>
          <t xml:space="preserve">Футболка из плотного 100% хлопка с принтом камуфляж</t>
        </is>
      </c>
      <c r="D1191" t="inlineStr">
        <is>
          <t xml:space="preserve">SS52M01Красный,черный,белый</t>
        </is>
      </c>
      <c r="E1191" t="inlineStr">
        <is>
          <t xml:space="preserve">красный, черный, белый, коричневый</t>
        </is>
      </c>
      <c r="F1191" t="inlineStr">
        <is>
          <t xml:space="preserve">54</t>
        </is>
      </c>
      <c r="G1191">
        <v>7</v>
      </c>
      <c r="H1191" s="2">
        <v>21.0</v>
      </c>
      <c r="I1191" t="inlineStr">
        <is>
          <t xml:space="preserve">хлопок 100%</t>
        </is>
      </c>
      <c r="J1191"/>
      <c r="K1191" t="inlineStr">
        <is>
          <t xml:space="preserve">Бангладеш</t>
        </is>
      </c>
      <c r="L1191" t="inlineStr">
        <is>
          <t xml:space="preserve">6207910000</t>
        </is>
      </c>
      <c r="M1191" t="inlineStr">
        <is>
          <t xml:space="preserve">Декларация № ЕАЭС № BY/112 11.01. ТР017 122.01 08246, до 19.04.2028</t>
        </is>
      </c>
      <c r="N1191" t="inlineStr">
        <is>
          <t xml:space="preserve">30 × 20 × 2</t>
        </is>
      </c>
      <c r="O1191" t="inlineStr">
        <is>
          <t xml:space="preserve">0,25</t>
        </is>
      </c>
      <c r="P1191" t="inlineStr">
        <is>
          <t xml:space="preserve">4816148165282</t>
        </is>
      </c>
      <c r="Q1191" s="3" t="str">
        <f>HYPERLINK("https://modify.by/img/398546439/1.webp","фото")</f>
        <v>фото</v>
      </c>
      <c r="R1191" s="3" t="str">
        <f>HYPERLINK("https://modify.by/catalog/futbolki/398546439/?utm_source=price&amp;utm_medium=xlsx","открыть")</f>
        <v>открыть</v>
      </c>
    </row>
    <row r="1192">
      <c r="A1192" t="inlineStr">
        <is>
          <t xml:space="preserve">Мужской</t>
        </is>
      </c>
      <c r="B1192" t="inlineStr">
        <is>
          <t xml:space="preserve">Футболки</t>
        </is>
      </c>
      <c r="C1192" t="inlineStr">
        <is>
          <t xml:space="preserve">Футболка из плотного 100% хлопка с эффектом тай дай</t>
        </is>
      </c>
      <c r="D1192" t="inlineStr">
        <is>
          <t xml:space="preserve">SS52M01Синий,голубой</t>
        </is>
      </c>
      <c r="E1192" t="inlineStr">
        <is>
          <t xml:space="preserve">синий, голубой</t>
        </is>
      </c>
      <c r="F1192" t="inlineStr">
        <is>
          <t xml:space="preserve">46</t>
        </is>
      </c>
      <c r="G1192">
        <v>50</v>
      </c>
      <c r="H1192" s="2">
        <v>21.0</v>
      </c>
      <c r="I1192" t="inlineStr">
        <is>
          <t xml:space="preserve">хлопок 100%</t>
        </is>
      </c>
      <c r="J1192"/>
      <c r="K1192" t="inlineStr">
        <is>
          <t xml:space="preserve">Бангладеш</t>
        </is>
      </c>
      <c r="L1192" t="inlineStr">
        <is>
          <t xml:space="preserve">6207910000</t>
        </is>
      </c>
      <c r="M1192" t="inlineStr">
        <is>
          <t xml:space="preserve">Декларация № ЕАЭС № BY/112 11.01. ТР017 122.01 08246, до 19.04.2028</t>
        </is>
      </c>
      <c r="N1192" t="inlineStr">
        <is>
          <t xml:space="preserve">30 × 20 × 2</t>
        </is>
      </c>
      <c r="O1192" t="inlineStr">
        <is>
          <t xml:space="preserve">0,25</t>
        </is>
      </c>
      <c r="P1192" t="inlineStr">
        <is>
          <t xml:space="preserve">4816148165046</t>
        </is>
      </c>
      <c r="Q1192" s="3" t="str">
        <f>HYPERLINK("https://modify.by/img/398548223/1.webp","фото")</f>
        <v>фото</v>
      </c>
      <c r="R1192" s="3" t="str">
        <f>HYPERLINK("https://modify.by/catalog/futbolki/398548223/?utm_source=price&amp;utm_medium=xlsx","открыть")</f>
        <v>открыть</v>
      </c>
    </row>
    <row r="1193">
      <c r="A1193" t="inlineStr">
        <is>
          <t xml:space="preserve">Мужской</t>
        </is>
      </c>
      <c r="B1193" t="inlineStr">
        <is>
          <t xml:space="preserve">Футболки</t>
        </is>
      </c>
      <c r="C1193" t="inlineStr">
        <is>
          <t xml:space="preserve">Футболка из плотного 100% хлопка с эффектом тай дай</t>
        </is>
      </c>
      <c r="D1193" t="inlineStr">
        <is>
          <t xml:space="preserve">SS52M01Синий,голубой</t>
        </is>
      </c>
      <c r="E1193" t="inlineStr">
        <is>
          <t xml:space="preserve">синий, голубой</t>
        </is>
      </c>
      <c r="F1193" t="inlineStr">
        <is>
          <t xml:space="preserve">48</t>
        </is>
      </c>
      <c r="G1193">
        <v>33</v>
      </c>
      <c r="H1193" s="2">
        <v>21.0</v>
      </c>
      <c r="I1193" t="inlineStr">
        <is>
          <t xml:space="preserve">хлопок 100%</t>
        </is>
      </c>
      <c r="J1193"/>
      <c r="K1193" t="inlineStr">
        <is>
          <t xml:space="preserve">Бангладеш</t>
        </is>
      </c>
      <c r="L1193" t="inlineStr">
        <is>
          <t xml:space="preserve">6207910000</t>
        </is>
      </c>
      <c r="M1193" t="inlineStr">
        <is>
          <t xml:space="preserve">Декларация № ЕАЭС № BY/112 11.01. ТР017 122.01 08246, до 19.04.2028</t>
        </is>
      </c>
      <c r="N1193" t="inlineStr">
        <is>
          <t xml:space="preserve">30 × 20 × 2</t>
        </is>
      </c>
      <c r="O1193" t="inlineStr">
        <is>
          <t xml:space="preserve">0,25</t>
        </is>
      </c>
      <c r="P1193" t="inlineStr">
        <is>
          <t xml:space="preserve">4816148165053</t>
        </is>
      </c>
      <c r="Q1193" s="3" t="str">
        <f>HYPERLINK("https://modify.by/img/398548223/1.webp","фото")</f>
        <v>фото</v>
      </c>
      <c r="R1193" s="3" t="str">
        <f>HYPERLINK("https://modify.by/catalog/futbolki/398548223/?utm_source=price&amp;utm_medium=xlsx","открыть")</f>
        <v>открыть</v>
      </c>
    </row>
    <row r="1194">
      <c r="A1194" t="inlineStr">
        <is>
          <t xml:space="preserve">Мужской</t>
        </is>
      </c>
      <c r="B1194" t="inlineStr">
        <is>
          <t xml:space="preserve">Футболки</t>
        </is>
      </c>
      <c r="C1194" t="inlineStr">
        <is>
          <t xml:space="preserve">Футболка из плотного 100% хлопка с эффектом тай дай</t>
        </is>
      </c>
      <c r="D1194" t="inlineStr">
        <is>
          <t xml:space="preserve">SS52M01Синий,голубой</t>
        </is>
      </c>
      <c r="E1194" t="inlineStr">
        <is>
          <t xml:space="preserve">синий, голубой</t>
        </is>
      </c>
      <c r="F1194" t="inlineStr">
        <is>
          <t xml:space="preserve">50</t>
        </is>
      </c>
      <c r="G1194">
        <v>97</v>
      </c>
      <c r="H1194" s="2">
        <v>21.0</v>
      </c>
      <c r="I1194" t="inlineStr">
        <is>
          <t xml:space="preserve">хлопок 100%</t>
        </is>
      </c>
      <c r="J1194"/>
      <c r="K1194" t="inlineStr">
        <is>
          <t xml:space="preserve">Бангладеш</t>
        </is>
      </c>
      <c r="L1194" t="inlineStr">
        <is>
          <t xml:space="preserve">6207910000</t>
        </is>
      </c>
      <c r="M1194" t="inlineStr">
        <is>
          <t xml:space="preserve">Декларация № ЕАЭС № BY/112 11.01. ТР017 122.01 08246, до 19.04.2028</t>
        </is>
      </c>
      <c r="N1194" t="inlineStr">
        <is>
          <t xml:space="preserve">30 × 20 × 2</t>
        </is>
      </c>
      <c r="O1194" t="inlineStr">
        <is>
          <t xml:space="preserve">0,25</t>
        </is>
      </c>
      <c r="P1194" t="inlineStr">
        <is>
          <t xml:space="preserve">4816148165060</t>
        </is>
      </c>
      <c r="Q1194" s="3" t="str">
        <f>HYPERLINK("https://modify.by/img/398548223/1.webp","фото")</f>
        <v>фото</v>
      </c>
      <c r="R1194" s="3" t="str">
        <f>HYPERLINK("https://modify.by/catalog/futbolki/398548223/?utm_source=price&amp;utm_medium=xlsx","открыть")</f>
        <v>открыть</v>
      </c>
    </row>
    <row r="1195">
      <c r="A1195" t="inlineStr">
        <is>
          <t xml:space="preserve">Мужской</t>
        </is>
      </c>
      <c r="B1195" t="inlineStr">
        <is>
          <t xml:space="preserve">Футболки</t>
        </is>
      </c>
      <c r="C1195" t="inlineStr">
        <is>
          <t xml:space="preserve">Футболка из плотного 100% хлопка с эффектом тай дай</t>
        </is>
      </c>
      <c r="D1195" t="inlineStr">
        <is>
          <t xml:space="preserve">SS52M01Синий,голубой</t>
        </is>
      </c>
      <c r="E1195" t="inlineStr">
        <is>
          <t xml:space="preserve">синий, голубой</t>
        </is>
      </c>
      <c r="F1195" t="inlineStr">
        <is>
          <t xml:space="preserve">52</t>
        </is>
      </c>
      <c r="G1195">
        <v>85</v>
      </c>
      <c r="H1195" s="2">
        <v>21.0</v>
      </c>
      <c r="I1195" t="inlineStr">
        <is>
          <t xml:space="preserve">хлопок 100%</t>
        </is>
      </c>
      <c r="J1195"/>
      <c r="K1195" t="inlineStr">
        <is>
          <t xml:space="preserve">Бангладеш</t>
        </is>
      </c>
      <c r="L1195" t="inlineStr">
        <is>
          <t xml:space="preserve">6207910000</t>
        </is>
      </c>
      <c r="M1195" t="inlineStr">
        <is>
          <t xml:space="preserve">Декларация № ЕАЭС № BY/112 11.01. ТР017 122.01 08246, до 19.04.2028</t>
        </is>
      </c>
      <c r="N1195" t="inlineStr">
        <is>
          <t xml:space="preserve">30 × 20 × 2</t>
        </is>
      </c>
      <c r="O1195" t="inlineStr">
        <is>
          <t xml:space="preserve">0,25</t>
        </is>
      </c>
      <c r="P1195" t="inlineStr">
        <is>
          <t xml:space="preserve">4816148165077</t>
        </is>
      </c>
      <c r="Q1195" s="3" t="str">
        <f>HYPERLINK("https://modify.by/img/398548223/1.webp","фото")</f>
        <v>фото</v>
      </c>
      <c r="R1195" s="3" t="str">
        <f>HYPERLINK("https://modify.by/catalog/futbolki/398548223/?utm_source=price&amp;utm_medium=xlsx","открыть")</f>
        <v>открыть</v>
      </c>
    </row>
    <row r="1196">
      <c r="A1196" t="inlineStr">
        <is>
          <t xml:space="preserve">Мужской</t>
        </is>
      </c>
      <c r="B1196" t="inlineStr">
        <is>
          <t xml:space="preserve">Футболки</t>
        </is>
      </c>
      <c r="C1196" t="inlineStr">
        <is>
          <t xml:space="preserve">Футболка из плотного 100% хлопка с эффектом тай дай</t>
        </is>
      </c>
      <c r="D1196" t="inlineStr">
        <is>
          <t xml:space="preserve">SS52M01Синий,голубой</t>
        </is>
      </c>
      <c r="E1196" t="inlineStr">
        <is>
          <t xml:space="preserve">синий, голубой</t>
        </is>
      </c>
      <c r="F1196" t="inlineStr">
        <is>
          <t xml:space="preserve">54</t>
        </is>
      </c>
      <c r="G1196">
        <v>28</v>
      </c>
      <c r="H1196" s="2">
        <v>21.0</v>
      </c>
      <c r="I1196" t="inlineStr">
        <is>
          <t xml:space="preserve">хлопок 100%</t>
        </is>
      </c>
      <c r="J1196"/>
      <c r="K1196" t="inlineStr">
        <is>
          <t xml:space="preserve">Бангладеш</t>
        </is>
      </c>
      <c r="L1196" t="inlineStr">
        <is>
          <t xml:space="preserve">6207910000</t>
        </is>
      </c>
      <c r="M1196" t="inlineStr">
        <is>
          <t xml:space="preserve">Декларация № ЕАЭС № BY/112 11.01. ТР017 122.01 08246, до 19.04.2028</t>
        </is>
      </c>
      <c r="N1196" t="inlineStr">
        <is>
          <t xml:space="preserve">30 × 20 × 2</t>
        </is>
      </c>
      <c r="O1196" t="inlineStr">
        <is>
          <t xml:space="preserve">0,25</t>
        </is>
      </c>
      <c r="P1196" t="inlineStr">
        <is>
          <t xml:space="preserve">4816148165084</t>
        </is>
      </c>
      <c r="Q1196" s="3" t="str">
        <f>HYPERLINK("https://modify.by/img/398548223/1.webp","фото")</f>
        <v>фото</v>
      </c>
      <c r="R1196" s="3" t="str">
        <f>HYPERLINK("https://modify.by/catalog/futbolki/398548223/?utm_source=price&amp;utm_medium=xlsx","открыть")</f>
        <v>открыть</v>
      </c>
    </row>
    <row r="1197">
      <c r="A1197" t="inlineStr">
        <is>
          <t xml:space="preserve">Мужской</t>
        </is>
      </c>
      <c r="B1197" t="inlineStr">
        <is>
          <t xml:space="preserve">Футболки</t>
        </is>
      </c>
      <c r="C1197" t="inlineStr">
        <is>
          <t xml:space="preserve">Футболка майка с принтом Y2K</t>
        </is>
      </c>
      <c r="D1197" t="inlineStr">
        <is>
          <t xml:space="preserve">SS52M01Бежевый,серый</t>
        </is>
      </c>
      <c r="E1197" t="inlineStr">
        <is>
          <t xml:space="preserve">бежевый, серый</t>
        </is>
      </c>
      <c r="F1197" t="inlineStr">
        <is>
          <t xml:space="preserve">46</t>
        </is>
      </c>
      <c r="G1197">
        <v>6</v>
      </c>
      <c r="H1197" s="2">
        <v>21.0</v>
      </c>
      <c r="I1197" t="inlineStr">
        <is>
          <t xml:space="preserve">хлопок 100%</t>
        </is>
      </c>
      <c r="J1197"/>
      <c r="K1197" t="inlineStr">
        <is>
          <t xml:space="preserve">Бангладеш</t>
        </is>
      </c>
      <c r="L1197" t="inlineStr">
        <is>
          <t xml:space="preserve">6207910000</t>
        </is>
      </c>
      <c r="M1197" t="inlineStr">
        <is>
          <t xml:space="preserve">Декларация № ЕАЭС № BY/112 11.01. ТР017 122.01 08246, до 19.04.2028</t>
        </is>
      </c>
      <c r="N1197" t="inlineStr">
        <is>
          <t xml:space="preserve">30 × 20 × 2</t>
        </is>
      </c>
      <c r="O1197" t="inlineStr">
        <is>
          <t xml:space="preserve">0,25</t>
        </is>
      </c>
      <c r="P1197" t="inlineStr">
        <is>
          <t xml:space="preserve">4816148164940</t>
        </is>
      </c>
      <c r="Q1197" s="3" t="str">
        <f>HYPERLINK("https://modify.by/img/398539361/1.webp","фото")</f>
        <v>фото</v>
      </c>
      <c r="R1197" s="3" t="str">
        <f>HYPERLINK("https://modify.by/catalog/futbolki/398539361/?utm_source=price&amp;utm_medium=xlsx","открыть")</f>
        <v>открыть</v>
      </c>
    </row>
    <row r="1198">
      <c r="A1198" t="inlineStr">
        <is>
          <t xml:space="preserve">Мужской</t>
        </is>
      </c>
      <c r="B1198" t="inlineStr">
        <is>
          <t xml:space="preserve">Футболки</t>
        </is>
      </c>
      <c r="C1198" t="inlineStr">
        <is>
          <t xml:space="preserve">Футболка майка хлопок 100% с принтом яркая летняя</t>
        </is>
      </c>
      <c r="D1198" t="inlineStr">
        <is>
          <t xml:space="preserve">SS52M01Красный,синий,зеленый</t>
        </is>
      </c>
      <c r="E1198" t="inlineStr">
        <is>
          <t xml:space="preserve">красный, синий, зеленый</t>
        </is>
      </c>
      <c r="F1198" t="inlineStr">
        <is>
          <t xml:space="preserve">46</t>
        </is>
      </c>
      <c r="G1198">
        <v>32</v>
      </c>
      <c r="H1198" s="2">
        <v>21.0</v>
      </c>
      <c r="I1198" t="inlineStr">
        <is>
          <t xml:space="preserve">хлопок 100%</t>
        </is>
      </c>
      <c r="J1198"/>
      <c r="K1198" t="inlineStr">
        <is>
          <t xml:space="preserve">Бангладеш</t>
        </is>
      </c>
      <c r="L1198" t="inlineStr">
        <is>
          <t xml:space="preserve">6207910000</t>
        </is>
      </c>
      <c r="M1198" t="inlineStr">
        <is>
          <t xml:space="preserve">Декларация № ЕАЭС № BY/112 11.01. ТР017 122.01 08246, до 19.04.2028</t>
        </is>
      </c>
      <c r="N1198" t="inlineStr">
        <is>
          <t xml:space="preserve">30 × 20 × 2</t>
        </is>
      </c>
      <c r="O1198" t="inlineStr">
        <is>
          <t xml:space="preserve">0,25</t>
        </is>
      </c>
      <c r="P1198" t="inlineStr">
        <is>
          <t xml:space="preserve">4816148165091</t>
        </is>
      </c>
      <c r="Q1198" s="3" t="str">
        <f>HYPERLINK("https://modify.by/img/398543819/1.webp","фото")</f>
        <v>фото</v>
      </c>
      <c r="R1198" s="3" t="str">
        <f>HYPERLINK("https://modify.by/catalog/futbolki/398543819/?utm_source=price&amp;utm_medium=xlsx","открыть")</f>
        <v>открыть</v>
      </c>
    </row>
    <row r="1199">
      <c r="A1199" t="inlineStr">
        <is>
          <t xml:space="preserve">Мужской</t>
        </is>
      </c>
      <c r="B1199" t="inlineStr">
        <is>
          <t xml:space="preserve">Футболки</t>
        </is>
      </c>
      <c r="C1199" t="inlineStr">
        <is>
          <t xml:space="preserve">Футболка майка хлопок 100% с принтом яркая летняя</t>
        </is>
      </c>
      <c r="D1199" t="inlineStr">
        <is>
          <t xml:space="preserve">SS52M01Красный,синий,зеленый</t>
        </is>
      </c>
      <c r="E1199" t="inlineStr">
        <is>
          <t xml:space="preserve">красный, синий, зеленый</t>
        </is>
      </c>
      <c r="F1199" t="inlineStr">
        <is>
          <t xml:space="preserve">48</t>
        </is>
      </c>
      <c r="G1199">
        <v>40</v>
      </c>
      <c r="H1199" s="2">
        <v>21.0</v>
      </c>
      <c r="I1199" t="inlineStr">
        <is>
          <t xml:space="preserve">хлопок 100%</t>
        </is>
      </c>
      <c r="J1199"/>
      <c r="K1199" t="inlineStr">
        <is>
          <t xml:space="preserve">Бангладеш</t>
        </is>
      </c>
      <c r="L1199" t="inlineStr">
        <is>
          <t xml:space="preserve">6207910000</t>
        </is>
      </c>
      <c r="M1199" t="inlineStr">
        <is>
          <t xml:space="preserve">Декларация № ЕАЭС № BY/112 11.01. ТР017 122.01 08246, до 19.04.2028</t>
        </is>
      </c>
      <c r="N1199" t="inlineStr">
        <is>
          <t xml:space="preserve">30 × 20 × 2</t>
        </is>
      </c>
      <c r="O1199" t="inlineStr">
        <is>
          <t xml:space="preserve">0,25</t>
        </is>
      </c>
      <c r="P1199" t="inlineStr">
        <is>
          <t xml:space="preserve">4816148165107</t>
        </is>
      </c>
      <c r="Q1199" s="3" t="str">
        <f>HYPERLINK("https://modify.by/img/398543819/1.webp","фото")</f>
        <v>фото</v>
      </c>
      <c r="R1199" s="3" t="str">
        <f>HYPERLINK("https://modify.by/catalog/futbolki/398543819/?utm_source=price&amp;utm_medium=xlsx","открыть")</f>
        <v>открыть</v>
      </c>
    </row>
    <row r="1200">
      <c r="A1200" t="inlineStr">
        <is>
          <t xml:space="preserve">Мужской</t>
        </is>
      </c>
      <c r="B1200" t="inlineStr">
        <is>
          <t xml:space="preserve">Футболки</t>
        </is>
      </c>
      <c r="C1200" t="inlineStr">
        <is>
          <t xml:space="preserve">Футболка майка хлопок 100% с принтом яркая летняя</t>
        </is>
      </c>
      <c r="D1200" t="inlineStr">
        <is>
          <t xml:space="preserve">SS52M01Красный,синий,зеленый</t>
        </is>
      </c>
      <c r="E1200" t="inlineStr">
        <is>
          <t xml:space="preserve">красный, синий, зеленый</t>
        </is>
      </c>
      <c r="F1200" t="inlineStr">
        <is>
          <t xml:space="preserve">50</t>
        </is>
      </c>
      <c r="G1200">
        <v>7</v>
      </c>
      <c r="H1200" s="2">
        <v>21.0</v>
      </c>
      <c r="I1200" t="inlineStr">
        <is>
          <t xml:space="preserve">хлопок 100%</t>
        </is>
      </c>
      <c r="J1200"/>
      <c r="K1200" t="inlineStr">
        <is>
          <t xml:space="preserve">Бангладеш</t>
        </is>
      </c>
      <c r="L1200" t="inlineStr">
        <is>
          <t xml:space="preserve">6207910000</t>
        </is>
      </c>
      <c r="M1200" t="inlineStr">
        <is>
          <t xml:space="preserve">Декларация № ЕАЭС № BY/112 11.01. ТР017 122.01 08246, до 19.04.2028</t>
        </is>
      </c>
      <c r="N1200" t="inlineStr">
        <is>
          <t xml:space="preserve">30 × 20 × 2</t>
        </is>
      </c>
      <c r="O1200" t="inlineStr">
        <is>
          <t xml:space="preserve">0,25</t>
        </is>
      </c>
      <c r="P1200" t="inlineStr">
        <is>
          <t xml:space="preserve">4816148165114</t>
        </is>
      </c>
      <c r="Q1200" s="3" t="str">
        <f>HYPERLINK("https://modify.by/img/398543819/1.webp","фото")</f>
        <v>фото</v>
      </c>
      <c r="R1200" s="3" t="str">
        <f>HYPERLINK("https://modify.by/catalog/futbolki/398543819/?utm_source=price&amp;utm_medium=xlsx","открыть")</f>
        <v>открыть</v>
      </c>
    </row>
    <row r="1201">
      <c r="A1201" t="inlineStr">
        <is>
          <t xml:space="preserve">Мужской</t>
        </is>
      </c>
      <c r="B1201" t="inlineStr">
        <is>
          <t xml:space="preserve">Футболки</t>
        </is>
      </c>
      <c r="C1201" t="inlineStr">
        <is>
          <t xml:space="preserve">Футболка майка хлопок 100% с принтом яркая летняя</t>
        </is>
      </c>
      <c r="D1201" t="inlineStr">
        <is>
          <t xml:space="preserve">SS52M01Красный,синий,зеленый</t>
        </is>
      </c>
      <c r="E1201" t="inlineStr">
        <is>
          <t xml:space="preserve">красный, синий, зеленый</t>
        </is>
      </c>
      <c r="F1201" t="inlineStr">
        <is>
          <t xml:space="preserve">52</t>
        </is>
      </c>
      <c r="G1201">
        <v>3</v>
      </c>
      <c r="H1201" s="2">
        <v>21.0</v>
      </c>
      <c r="I1201" t="inlineStr">
        <is>
          <t xml:space="preserve">хлопок 100%</t>
        </is>
      </c>
      <c r="J1201"/>
      <c r="K1201" t="inlineStr">
        <is>
          <t xml:space="preserve">Бангладеш</t>
        </is>
      </c>
      <c r="L1201" t="inlineStr">
        <is>
          <t xml:space="preserve">6207910000</t>
        </is>
      </c>
      <c r="M1201" t="inlineStr">
        <is>
          <t xml:space="preserve">Декларация № ЕАЭС № BY/112 11.01. ТР017 122.01 08246, до 19.04.2028</t>
        </is>
      </c>
      <c r="N1201" t="inlineStr">
        <is>
          <t xml:space="preserve">30 × 20 × 2</t>
        </is>
      </c>
      <c r="O1201" t="inlineStr">
        <is>
          <t xml:space="preserve">0,25</t>
        </is>
      </c>
      <c r="P1201" t="inlineStr">
        <is>
          <t xml:space="preserve">4816148165121</t>
        </is>
      </c>
      <c r="Q1201" s="3" t="str">
        <f>HYPERLINK("https://modify.by/img/398543819/1.webp","фото")</f>
        <v>фото</v>
      </c>
      <c r="R1201" s="3" t="str">
        <f>HYPERLINK("https://modify.by/catalog/futbolki/398543819/?utm_source=price&amp;utm_medium=xlsx","открыть")</f>
        <v>открыть</v>
      </c>
    </row>
    <row r="1202">
      <c r="A1202" t="inlineStr">
        <is>
          <t xml:space="preserve">Мужской</t>
        </is>
      </c>
      <c r="B1202" t="inlineStr">
        <is>
          <t xml:space="preserve">Футболки</t>
        </is>
      </c>
      <c r="C1202" t="inlineStr">
        <is>
          <t xml:space="preserve">Футболка принт ананас хлопок</t>
        </is>
      </c>
      <c r="D1202" t="inlineStr">
        <is>
          <t xml:space="preserve">SS52M01Бежевый,черный</t>
        </is>
      </c>
      <c r="E1202" t="inlineStr">
        <is>
          <t xml:space="preserve">бежевый, черный</t>
        </is>
      </c>
      <c r="F1202" t="inlineStr">
        <is>
          <t xml:space="preserve">46</t>
        </is>
      </c>
      <c r="G1202">
        <v>39</v>
      </c>
      <c r="H1202" s="2">
        <v>21.0</v>
      </c>
      <c r="I1202" t="inlineStr">
        <is>
          <t xml:space="preserve">хлопок 100%</t>
        </is>
      </c>
      <c r="J1202"/>
      <c r="K1202" t="inlineStr">
        <is>
          <t xml:space="preserve">Бангладеш</t>
        </is>
      </c>
      <c r="L1202" t="inlineStr">
        <is>
          <t xml:space="preserve">6207910000</t>
        </is>
      </c>
      <c r="M1202" t="inlineStr">
        <is>
          <t xml:space="preserve">Декларация № ЕАЭС № BY/112 11.01. ТР017 122.01 08246, до 19.04.2028</t>
        </is>
      </c>
      <c r="N1202" t="inlineStr">
        <is>
          <t xml:space="preserve">30 × 20 × 2</t>
        </is>
      </c>
      <c r="O1202" t="inlineStr">
        <is>
          <t xml:space="preserve">0,25</t>
        </is>
      </c>
      <c r="P1202" t="inlineStr">
        <is>
          <t xml:space="preserve">4816148165145</t>
        </is>
      </c>
      <c r="Q1202" s="3" t="str">
        <f>HYPERLINK("https://modify.by/img/398540612/1.webp","фото")</f>
        <v>фото</v>
      </c>
      <c r="R1202" s="3" t="str">
        <f>HYPERLINK("https://modify.by/catalog/futbolki/398540612/?utm_source=price&amp;utm_medium=xlsx","открыть")</f>
        <v>открыть</v>
      </c>
    </row>
    <row r="1203">
      <c r="A1203" t="inlineStr">
        <is>
          <t xml:space="preserve">Мужской</t>
        </is>
      </c>
      <c r="B1203" t="inlineStr">
        <is>
          <t xml:space="preserve">Футболки</t>
        </is>
      </c>
      <c r="C1203" t="inlineStr">
        <is>
          <t xml:space="preserve">Футболка принт ананас хлопок</t>
        </is>
      </c>
      <c r="D1203" t="inlineStr">
        <is>
          <t xml:space="preserve">SS52M01Бежевый,черный</t>
        </is>
      </c>
      <c r="E1203" t="inlineStr">
        <is>
          <t xml:space="preserve">бежевый, черный</t>
        </is>
      </c>
      <c r="F1203" t="inlineStr">
        <is>
          <t xml:space="preserve">48</t>
        </is>
      </c>
      <c r="G1203">
        <v>35</v>
      </c>
      <c r="H1203" s="2">
        <v>21.0</v>
      </c>
      <c r="I1203" t="inlineStr">
        <is>
          <t xml:space="preserve">хлопок 100%</t>
        </is>
      </c>
      <c r="J1203"/>
      <c r="K1203" t="inlineStr">
        <is>
          <t xml:space="preserve">Бангладеш</t>
        </is>
      </c>
      <c r="L1203" t="inlineStr">
        <is>
          <t xml:space="preserve">6207910000</t>
        </is>
      </c>
      <c r="M1203" t="inlineStr">
        <is>
          <t xml:space="preserve">Декларация № ЕАЭС № BY/112 11.01. ТР017 122.01 08246, до 19.04.2028</t>
        </is>
      </c>
      <c r="N1203" t="inlineStr">
        <is>
          <t xml:space="preserve">30 × 20 × 2</t>
        </is>
      </c>
      <c r="O1203" t="inlineStr">
        <is>
          <t xml:space="preserve">0,25</t>
        </is>
      </c>
      <c r="P1203" t="inlineStr">
        <is>
          <t xml:space="preserve">4816148165152</t>
        </is>
      </c>
      <c r="Q1203" s="3" t="str">
        <f>HYPERLINK("https://modify.by/img/398540612/1.webp","фото")</f>
        <v>фото</v>
      </c>
      <c r="R1203" s="3" t="str">
        <f>HYPERLINK("https://modify.by/catalog/futbolki/398540612/?utm_source=price&amp;utm_medium=xlsx","открыть")</f>
        <v>открыть</v>
      </c>
    </row>
    <row r="1204">
      <c r="A1204" t="inlineStr">
        <is>
          <t xml:space="preserve">Мужской</t>
        </is>
      </c>
      <c r="B1204" t="inlineStr">
        <is>
          <t xml:space="preserve">Футболки</t>
        </is>
      </c>
      <c r="C1204" t="inlineStr">
        <is>
          <t xml:space="preserve">Футболка принт ананас хлопок</t>
        </is>
      </c>
      <c r="D1204" t="inlineStr">
        <is>
          <t xml:space="preserve">SS52M01Бежевый,черный</t>
        </is>
      </c>
      <c r="E1204" t="inlineStr">
        <is>
          <t xml:space="preserve">бежевый, черный</t>
        </is>
      </c>
      <c r="F1204" t="inlineStr">
        <is>
          <t xml:space="preserve">50</t>
        </is>
      </c>
      <c r="G1204">
        <v>68</v>
      </c>
      <c r="H1204" s="2">
        <v>21.0</v>
      </c>
      <c r="I1204" t="inlineStr">
        <is>
          <t xml:space="preserve">хлопок 100%</t>
        </is>
      </c>
      <c r="J1204"/>
      <c r="K1204" t="inlineStr">
        <is>
          <t xml:space="preserve">Бангладеш</t>
        </is>
      </c>
      <c r="L1204" t="inlineStr">
        <is>
          <t xml:space="preserve">6207910000</t>
        </is>
      </c>
      <c r="M1204" t="inlineStr">
        <is>
          <t xml:space="preserve">Декларация № ЕАЭС № BY/112 11.01. ТР017 122.01 08246, до 19.04.2028</t>
        </is>
      </c>
      <c r="N1204" t="inlineStr">
        <is>
          <t xml:space="preserve">30 × 20 × 2</t>
        </is>
      </c>
      <c r="O1204" t="inlineStr">
        <is>
          <t xml:space="preserve">0,25</t>
        </is>
      </c>
      <c r="P1204" t="inlineStr">
        <is>
          <t xml:space="preserve">4816148165169</t>
        </is>
      </c>
      <c r="Q1204" s="3" t="str">
        <f>HYPERLINK("https://modify.by/img/398540612/1.webp","фото")</f>
        <v>фото</v>
      </c>
      <c r="R1204" s="3" t="str">
        <f>HYPERLINK("https://modify.by/catalog/futbolki/398540612/?utm_source=price&amp;utm_medium=xlsx","открыть")</f>
        <v>открыть</v>
      </c>
    </row>
    <row r="1205">
      <c r="A1205" t="inlineStr">
        <is>
          <t xml:space="preserve">Мужской</t>
        </is>
      </c>
      <c r="B1205" t="inlineStr">
        <is>
          <t xml:space="preserve">Футболки</t>
        </is>
      </c>
      <c r="C1205" t="inlineStr">
        <is>
          <t xml:space="preserve">Футболка принт ананас хлопок</t>
        </is>
      </c>
      <c r="D1205" t="inlineStr">
        <is>
          <t xml:space="preserve">SS52M01Бежевый,черный</t>
        </is>
      </c>
      <c r="E1205" t="inlineStr">
        <is>
          <t xml:space="preserve">бежевый, черный</t>
        </is>
      </c>
      <c r="F1205" t="inlineStr">
        <is>
          <t xml:space="preserve">52</t>
        </is>
      </c>
      <c r="G1205">
        <v>37</v>
      </c>
      <c r="H1205" s="2">
        <v>21.0</v>
      </c>
      <c r="I1205" t="inlineStr">
        <is>
          <t xml:space="preserve">хлопок 100%</t>
        </is>
      </c>
      <c r="J1205"/>
      <c r="K1205" t="inlineStr">
        <is>
          <t xml:space="preserve">Бангладеш</t>
        </is>
      </c>
      <c r="L1205" t="inlineStr">
        <is>
          <t xml:space="preserve">6207910000</t>
        </is>
      </c>
      <c r="M1205" t="inlineStr">
        <is>
          <t xml:space="preserve">Декларация № ЕАЭС № BY/112 11.01. ТР017 122.01 08246, до 19.04.2028</t>
        </is>
      </c>
      <c r="N1205" t="inlineStr">
        <is>
          <t xml:space="preserve">30 × 20 × 2</t>
        </is>
      </c>
      <c r="O1205" t="inlineStr">
        <is>
          <t xml:space="preserve">0,25</t>
        </is>
      </c>
      <c r="P1205" t="inlineStr">
        <is>
          <t xml:space="preserve">4816148165176</t>
        </is>
      </c>
      <c r="Q1205" s="3" t="str">
        <f>HYPERLINK("https://modify.by/img/398540612/1.webp","фото")</f>
        <v>фото</v>
      </c>
      <c r="R1205" s="3" t="str">
        <f>HYPERLINK("https://modify.by/catalog/futbolki/398540612/?utm_source=price&amp;utm_medium=xlsx","открыть")</f>
        <v>открыть</v>
      </c>
    </row>
    <row r="1206">
      <c r="A1206" t="inlineStr">
        <is>
          <t xml:space="preserve">Мужской</t>
        </is>
      </c>
      <c r="B1206" t="inlineStr">
        <is>
          <t xml:space="preserve">Футболки</t>
        </is>
      </c>
      <c r="C1206" t="inlineStr">
        <is>
          <t xml:space="preserve">Футболка принт ананас хлопок</t>
        </is>
      </c>
      <c r="D1206" t="inlineStr">
        <is>
          <t xml:space="preserve">SS52M01Бежевый,черный</t>
        </is>
      </c>
      <c r="E1206" t="inlineStr">
        <is>
          <t xml:space="preserve">бежевый, черный</t>
        </is>
      </c>
      <c r="F1206" t="inlineStr">
        <is>
          <t xml:space="preserve">54</t>
        </is>
      </c>
      <c r="G1206">
        <v>7</v>
      </c>
      <c r="H1206" s="2">
        <v>21.0</v>
      </c>
      <c r="I1206" t="inlineStr">
        <is>
          <t xml:space="preserve">хлопок 100%</t>
        </is>
      </c>
      <c r="J1206"/>
      <c r="K1206" t="inlineStr">
        <is>
          <t xml:space="preserve">Бангладеш</t>
        </is>
      </c>
      <c r="L1206" t="inlineStr">
        <is>
          <t xml:space="preserve">6207910000</t>
        </is>
      </c>
      <c r="M1206" t="inlineStr">
        <is>
          <t xml:space="preserve">Декларация № ЕАЭС № BY/112 11.01. ТР017 122.01 08246, до 19.04.2028</t>
        </is>
      </c>
      <c r="N1206" t="inlineStr">
        <is>
          <t xml:space="preserve">30 × 20 × 2</t>
        </is>
      </c>
      <c r="O1206" t="inlineStr">
        <is>
          <t xml:space="preserve">0,25</t>
        </is>
      </c>
      <c r="P1206" t="inlineStr">
        <is>
          <t xml:space="preserve">4816148165183</t>
        </is>
      </c>
      <c r="Q1206" s="3" t="str">
        <f>HYPERLINK("https://modify.by/img/398540612/1.webp","фото")</f>
        <v>фото</v>
      </c>
      <c r="R1206" s="3" t="str">
        <f>HYPERLINK("https://modify.by/catalog/futbolki/398540612/?utm_source=price&amp;utm_medium=xlsx","открыть")</f>
        <v>открыть</v>
      </c>
    </row>
    <row r="1207">
      <c r="A1207" t="inlineStr">
        <is>
          <t xml:space="preserve">Мужской</t>
        </is>
      </c>
      <c r="B1207" t="inlineStr">
        <is>
          <t xml:space="preserve">Футболки</t>
        </is>
      </c>
      <c r="C1207" t="inlineStr">
        <is>
          <t xml:space="preserve">Футболка принт камуфляж 100% плотный хлопок</t>
        </is>
      </c>
      <c r="D1207" t="inlineStr">
        <is>
          <t xml:space="preserve">SS32M04темно-серый,темно-бежевый</t>
        </is>
      </c>
      <c r="E1207" t="inlineStr">
        <is>
          <t xml:space="preserve">темно-серый, темно-бежевый, хаки</t>
        </is>
      </c>
      <c r="F1207" t="inlineStr">
        <is>
          <t xml:space="preserve">44</t>
        </is>
      </c>
      <c r="G1207">
        <v>57</v>
      </c>
      <c r="H1207" s="2">
        <v>22.0</v>
      </c>
      <c r="I1207" t="inlineStr">
        <is>
          <t xml:space="preserve">хлопок 100%</t>
        </is>
      </c>
      <c r="J1207"/>
      <c r="K1207" t="inlineStr">
        <is>
          <t xml:space="preserve">Бангладеш</t>
        </is>
      </c>
      <c r="L1207" t="inlineStr">
        <is>
          <t xml:space="preserve">6207910000</t>
        </is>
      </c>
      <c r="M1207" t="inlineStr">
        <is>
          <t xml:space="preserve">Декларация № ЕАЭС № BY/112 11.01. ТР017 122.01 08246, до 19.04.2028</t>
        </is>
      </c>
      <c r="N1207" t="inlineStr">
        <is>
          <t xml:space="preserve">36 × 30 × 1</t>
        </is>
      </c>
      <c r="O1207" t="inlineStr">
        <is>
          <t xml:space="preserve">0,25</t>
        </is>
      </c>
      <c r="P1207" t="inlineStr">
        <is>
          <t xml:space="preserve">2038096204604</t>
        </is>
      </c>
      <c r="Q1207" s="3" t="str">
        <f>HYPERLINK("https://modify.by/img/208753010/1.webp","фото")</f>
        <v>фото</v>
      </c>
      <c r="R1207" s="3" t="str">
        <f>HYPERLINK("https://modify.by/catalog/futbolki/208753010/?utm_source=price&amp;utm_medium=xlsx","открыть")</f>
        <v>открыть</v>
      </c>
    </row>
    <row r="1208">
      <c r="A1208" t="inlineStr">
        <is>
          <t xml:space="preserve">Мужской</t>
        </is>
      </c>
      <c r="B1208" t="inlineStr">
        <is>
          <t xml:space="preserve">Футболки</t>
        </is>
      </c>
      <c r="C1208" t="inlineStr">
        <is>
          <t xml:space="preserve">Футболка принт камуфляж 100% плотный хлопок</t>
        </is>
      </c>
      <c r="D1208" t="inlineStr">
        <is>
          <t xml:space="preserve">SS32M04темно-серый,темно-бежевый</t>
        </is>
      </c>
      <c r="E1208" t="inlineStr">
        <is>
          <t xml:space="preserve">темно-серый, темно-бежевый, хаки</t>
        </is>
      </c>
      <c r="F1208" t="inlineStr">
        <is>
          <t xml:space="preserve">44</t>
        </is>
      </c>
      <c r="G1208">
        <v>57</v>
      </c>
      <c r="H1208" s="2">
        <v>22.0</v>
      </c>
      <c r="I1208" t="inlineStr">
        <is>
          <t xml:space="preserve">хлопок 100%</t>
        </is>
      </c>
      <c r="J1208"/>
      <c r="K1208" t="inlineStr">
        <is>
          <t xml:space="preserve">Бангладеш</t>
        </is>
      </c>
      <c r="L1208" t="inlineStr">
        <is>
          <t xml:space="preserve">6207910000</t>
        </is>
      </c>
      <c r="M1208" t="inlineStr">
        <is>
          <t xml:space="preserve">Декларация № ЕАЭС № BY/112 11.01. ТР017 122.01 08246, до 19.04.2028</t>
        </is>
      </c>
      <c r="N1208" t="inlineStr">
        <is>
          <t xml:space="preserve">36 × 30 × 1</t>
        </is>
      </c>
      <c r="O1208" t="inlineStr">
        <is>
          <t xml:space="preserve">0,25</t>
        </is>
      </c>
      <c r="P1208" t="inlineStr">
        <is>
          <t xml:space="preserve">4816148171290</t>
        </is>
      </c>
      <c r="Q1208" s="3" t="str">
        <f>HYPERLINK("https://modify.by/img/208753010/1.webp","фото")</f>
        <v>фото</v>
      </c>
      <c r="R1208" s="3" t="str">
        <f>HYPERLINK("https://modify.by/catalog/futbolki/208753010/?utm_source=price&amp;utm_medium=xlsx","открыть")</f>
        <v>открыть</v>
      </c>
    </row>
    <row r="1209">
      <c r="A1209" t="inlineStr">
        <is>
          <t xml:space="preserve">Мужской</t>
        </is>
      </c>
      <c r="B1209" t="inlineStr">
        <is>
          <t xml:space="preserve">Футболки</t>
        </is>
      </c>
      <c r="C1209" t="inlineStr">
        <is>
          <t xml:space="preserve">Футболка принт камуфляж 100% плотный хлопок</t>
        </is>
      </c>
      <c r="D1209" t="inlineStr">
        <is>
          <t xml:space="preserve">SS32M04темно-серый,темно-бежевый</t>
        </is>
      </c>
      <c r="E1209" t="inlineStr">
        <is>
          <t xml:space="preserve">темно-серый, темно-бежевый, хаки</t>
        </is>
      </c>
      <c r="F1209" t="inlineStr">
        <is>
          <t xml:space="preserve">46</t>
        </is>
      </c>
      <c r="G1209">
        <v>139</v>
      </c>
      <c r="H1209" s="2">
        <v>22.0</v>
      </c>
      <c r="I1209" t="inlineStr">
        <is>
          <t xml:space="preserve">хлопок 100%</t>
        </is>
      </c>
      <c r="J1209"/>
      <c r="K1209" t="inlineStr">
        <is>
          <t xml:space="preserve">Бангладеш</t>
        </is>
      </c>
      <c r="L1209" t="inlineStr">
        <is>
          <t xml:space="preserve">6207910000</t>
        </is>
      </c>
      <c r="M1209" t="inlineStr">
        <is>
          <t xml:space="preserve">Декларация № ЕАЭС № BY/112 11.01. ТР017 122.01 08246, до 19.04.2028</t>
        </is>
      </c>
      <c r="N1209" t="inlineStr">
        <is>
          <t xml:space="preserve">36 × 30 × 1</t>
        </is>
      </c>
      <c r="O1209" t="inlineStr">
        <is>
          <t xml:space="preserve">0,25</t>
        </is>
      </c>
      <c r="P1209" t="inlineStr">
        <is>
          <t xml:space="preserve">2038096198828</t>
        </is>
      </c>
      <c r="Q1209" s="3" t="str">
        <f>HYPERLINK("https://modify.by/img/208753010/1.webp","фото")</f>
        <v>фото</v>
      </c>
      <c r="R1209" s="3" t="str">
        <f>HYPERLINK("https://modify.by/catalog/futbolki/208753010/?utm_source=price&amp;utm_medium=xlsx","открыть")</f>
        <v>открыть</v>
      </c>
    </row>
    <row r="1210">
      <c r="A1210" t="inlineStr">
        <is>
          <t xml:space="preserve">Мужской</t>
        </is>
      </c>
      <c r="B1210" t="inlineStr">
        <is>
          <t xml:space="preserve">Футболки</t>
        </is>
      </c>
      <c r="C1210" t="inlineStr">
        <is>
          <t xml:space="preserve">Футболка принт камуфляж 100% плотный хлопок</t>
        </is>
      </c>
      <c r="D1210" t="inlineStr">
        <is>
          <t xml:space="preserve">SS32M04темно-серый,темно-бежевый</t>
        </is>
      </c>
      <c r="E1210" t="inlineStr">
        <is>
          <t xml:space="preserve">темно-серый, темно-бежевый, хаки</t>
        </is>
      </c>
      <c r="F1210" t="inlineStr">
        <is>
          <t xml:space="preserve">46</t>
        </is>
      </c>
      <c r="G1210">
        <v>139</v>
      </c>
      <c r="H1210" s="2">
        <v>22.0</v>
      </c>
      <c r="I1210" t="inlineStr">
        <is>
          <t xml:space="preserve">хлопок 100%</t>
        </is>
      </c>
      <c r="J1210"/>
      <c r="K1210" t="inlineStr">
        <is>
          <t xml:space="preserve">Бангладеш</t>
        </is>
      </c>
      <c r="L1210" t="inlineStr">
        <is>
          <t xml:space="preserve">6207910000</t>
        </is>
      </c>
      <c r="M1210" t="inlineStr">
        <is>
          <t xml:space="preserve">Декларация № ЕАЭС № BY/112 11.01. ТР017 122.01 08246, до 19.04.2028</t>
        </is>
      </c>
      <c r="N1210" t="inlineStr">
        <is>
          <t xml:space="preserve">36 × 30 × 1</t>
        </is>
      </c>
      <c r="O1210" t="inlineStr">
        <is>
          <t xml:space="preserve">0,25</t>
        </is>
      </c>
      <c r="P1210" t="inlineStr">
        <is>
          <t xml:space="preserve">4816148159892</t>
        </is>
      </c>
      <c r="Q1210" s="3" t="str">
        <f>HYPERLINK("https://modify.by/img/208753010/1.webp","фото")</f>
        <v>фото</v>
      </c>
      <c r="R1210" s="3" t="str">
        <f>HYPERLINK("https://modify.by/catalog/futbolki/208753010/?utm_source=price&amp;utm_medium=xlsx","открыть")</f>
        <v>открыть</v>
      </c>
    </row>
    <row r="1211">
      <c r="A1211" t="inlineStr">
        <is>
          <t xml:space="preserve">Мужской</t>
        </is>
      </c>
      <c r="B1211" t="inlineStr">
        <is>
          <t xml:space="preserve">Футболки</t>
        </is>
      </c>
      <c r="C1211" t="inlineStr">
        <is>
          <t xml:space="preserve">Футболка принт камуфляж 100% плотный хлопок</t>
        </is>
      </c>
      <c r="D1211" t="inlineStr">
        <is>
          <t xml:space="preserve">SS32M04темно-серый,темно-бежевый</t>
        </is>
      </c>
      <c r="E1211" t="inlineStr">
        <is>
          <t xml:space="preserve">темно-серый, темно-бежевый, хаки</t>
        </is>
      </c>
      <c r="F1211" t="inlineStr">
        <is>
          <t xml:space="preserve">48</t>
        </is>
      </c>
      <c r="G1211">
        <v>192</v>
      </c>
      <c r="H1211" s="2">
        <v>22.0</v>
      </c>
      <c r="I1211" t="inlineStr">
        <is>
          <t xml:space="preserve">хлопок 100%</t>
        </is>
      </c>
      <c r="J1211"/>
      <c r="K1211" t="inlineStr">
        <is>
          <t xml:space="preserve">Бангладеш</t>
        </is>
      </c>
      <c r="L1211" t="inlineStr">
        <is>
          <t xml:space="preserve">6207910000</t>
        </is>
      </c>
      <c r="M1211" t="inlineStr">
        <is>
          <t xml:space="preserve">Декларация № ЕАЭС № BY/112 11.01. ТР017 122.01 08246, до 19.04.2028</t>
        </is>
      </c>
      <c r="N1211" t="inlineStr">
        <is>
          <t xml:space="preserve">36 × 30 × 1</t>
        </is>
      </c>
      <c r="O1211" t="inlineStr">
        <is>
          <t xml:space="preserve">0,25</t>
        </is>
      </c>
      <c r="P1211" t="inlineStr">
        <is>
          <t xml:space="preserve">2038096198835</t>
        </is>
      </c>
      <c r="Q1211" s="3" t="str">
        <f>HYPERLINK("https://modify.by/img/208753010/1.webp","фото")</f>
        <v>фото</v>
      </c>
      <c r="R1211" s="3" t="str">
        <f>HYPERLINK("https://modify.by/catalog/futbolki/208753010/?utm_source=price&amp;utm_medium=xlsx","открыть")</f>
        <v>открыть</v>
      </c>
    </row>
    <row r="1212">
      <c r="A1212" t="inlineStr">
        <is>
          <t xml:space="preserve">Мужской</t>
        </is>
      </c>
      <c r="B1212" t="inlineStr">
        <is>
          <t xml:space="preserve">Футболки</t>
        </is>
      </c>
      <c r="C1212" t="inlineStr">
        <is>
          <t xml:space="preserve">Футболка принт камуфляж 100% плотный хлопок</t>
        </is>
      </c>
      <c r="D1212" t="inlineStr">
        <is>
          <t xml:space="preserve">SS32M04темно-серый,темно-бежевый</t>
        </is>
      </c>
      <c r="E1212" t="inlineStr">
        <is>
          <t xml:space="preserve">темно-серый, темно-бежевый, хаки</t>
        </is>
      </c>
      <c r="F1212" t="inlineStr">
        <is>
          <t xml:space="preserve">48</t>
        </is>
      </c>
      <c r="G1212">
        <v>192</v>
      </c>
      <c r="H1212" s="2">
        <v>22.0</v>
      </c>
      <c r="I1212" t="inlineStr">
        <is>
          <t xml:space="preserve">хлопок 100%</t>
        </is>
      </c>
      <c r="J1212"/>
      <c r="K1212" t="inlineStr">
        <is>
          <t xml:space="preserve">Бангладеш</t>
        </is>
      </c>
      <c r="L1212" t="inlineStr">
        <is>
          <t xml:space="preserve">6207910000</t>
        </is>
      </c>
      <c r="M1212" t="inlineStr">
        <is>
          <t xml:space="preserve">Декларация № ЕАЭС № BY/112 11.01. ТР017 122.01 08246, до 19.04.2028</t>
        </is>
      </c>
      <c r="N1212" t="inlineStr">
        <is>
          <t xml:space="preserve">36 × 30 × 1</t>
        </is>
      </c>
      <c r="O1212" t="inlineStr">
        <is>
          <t xml:space="preserve">0,25</t>
        </is>
      </c>
      <c r="P1212" t="inlineStr">
        <is>
          <t xml:space="preserve">4816148159908</t>
        </is>
      </c>
      <c r="Q1212" s="3" t="str">
        <f>HYPERLINK("https://modify.by/img/208753010/1.webp","фото")</f>
        <v>фото</v>
      </c>
      <c r="R1212" s="3" t="str">
        <f>HYPERLINK("https://modify.by/catalog/futbolki/208753010/?utm_source=price&amp;utm_medium=xlsx","открыть")</f>
        <v>открыть</v>
      </c>
    </row>
    <row r="1213">
      <c r="A1213" t="inlineStr">
        <is>
          <t xml:space="preserve">Мужской</t>
        </is>
      </c>
      <c r="B1213" t="inlineStr">
        <is>
          <t xml:space="preserve">Футболки</t>
        </is>
      </c>
      <c r="C1213" t="inlineStr">
        <is>
          <t xml:space="preserve">Футболка принт камуфляж 100% плотный хлопок</t>
        </is>
      </c>
      <c r="D1213" t="inlineStr">
        <is>
          <t xml:space="preserve">SS32M04темно-серый,темно-бежевый</t>
        </is>
      </c>
      <c r="E1213" t="inlineStr">
        <is>
          <t xml:space="preserve">темно-серый, темно-бежевый, хаки</t>
        </is>
      </c>
      <c r="F1213" t="inlineStr">
        <is>
          <t xml:space="preserve">50</t>
        </is>
      </c>
      <c r="G1213">
        <v>18</v>
      </c>
      <c r="H1213" s="2">
        <v>22.0</v>
      </c>
      <c r="I1213" t="inlineStr">
        <is>
          <t xml:space="preserve">хлопок 100%</t>
        </is>
      </c>
      <c r="J1213"/>
      <c r="K1213" t="inlineStr">
        <is>
          <t xml:space="preserve">Бангладеш</t>
        </is>
      </c>
      <c r="L1213" t="inlineStr">
        <is>
          <t xml:space="preserve">6207910000</t>
        </is>
      </c>
      <c r="M1213" t="inlineStr">
        <is>
          <t xml:space="preserve">Декларация № ЕАЭС № BY/112 11.01. ТР017 122.01 08246, до 19.04.2028</t>
        </is>
      </c>
      <c r="N1213" t="inlineStr">
        <is>
          <t xml:space="preserve">36 × 30 × 1</t>
        </is>
      </c>
      <c r="O1213" t="inlineStr">
        <is>
          <t xml:space="preserve">0,25</t>
        </is>
      </c>
      <c r="P1213" t="inlineStr">
        <is>
          <t xml:space="preserve">2038096198842</t>
        </is>
      </c>
      <c r="Q1213" s="3" t="str">
        <f>HYPERLINK("https://modify.by/img/208753010/1.webp","фото")</f>
        <v>фото</v>
      </c>
      <c r="R1213" s="3" t="str">
        <f>HYPERLINK("https://modify.by/catalog/futbolki/208753010/?utm_source=price&amp;utm_medium=xlsx","открыть")</f>
        <v>открыть</v>
      </c>
    </row>
    <row r="1214">
      <c r="A1214" t="inlineStr">
        <is>
          <t xml:space="preserve">Мужской</t>
        </is>
      </c>
      <c r="B1214" t="inlineStr">
        <is>
          <t xml:space="preserve">Футболки</t>
        </is>
      </c>
      <c r="C1214" t="inlineStr">
        <is>
          <t xml:space="preserve">Футболка принт камуфляж 100% плотный хлопок</t>
        </is>
      </c>
      <c r="D1214" t="inlineStr">
        <is>
          <t xml:space="preserve">SS32M04темно-серый,темно-бежевый</t>
        </is>
      </c>
      <c r="E1214" t="inlineStr">
        <is>
          <t xml:space="preserve">темно-серый, темно-бежевый, хаки</t>
        </is>
      </c>
      <c r="F1214" t="inlineStr">
        <is>
          <t xml:space="preserve">50</t>
        </is>
      </c>
      <c r="G1214">
        <v>18</v>
      </c>
      <c r="H1214" s="2">
        <v>22.0</v>
      </c>
      <c r="I1214" t="inlineStr">
        <is>
          <t xml:space="preserve">хлопок 100%</t>
        </is>
      </c>
      <c r="J1214"/>
      <c r="K1214" t="inlineStr">
        <is>
          <t xml:space="preserve">Бангладеш</t>
        </is>
      </c>
      <c r="L1214" t="inlineStr">
        <is>
          <t xml:space="preserve">6207910000</t>
        </is>
      </c>
      <c r="M1214" t="inlineStr">
        <is>
          <t xml:space="preserve">Декларация № ЕАЭС № BY/112 11.01. ТР017 122.01 08246, до 19.04.2028</t>
        </is>
      </c>
      <c r="N1214" t="inlineStr">
        <is>
          <t xml:space="preserve">36 × 30 × 1</t>
        </is>
      </c>
      <c r="O1214" t="inlineStr">
        <is>
          <t xml:space="preserve">0,25</t>
        </is>
      </c>
      <c r="P1214" t="inlineStr">
        <is>
          <t xml:space="preserve">4816148159915</t>
        </is>
      </c>
      <c r="Q1214" s="3" t="str">
        <f>HYPERLINK("https://modify.by/img/208753010/1.webp","фото")</f>
        <v>фото</v>
      </c>
      <c r="R1214" s="3" t="str">
        <f>HYPERLINK("https://modify.by/catalog/futbolki/208753010/?utm_source=price&amp;utm_medium=xlsx","открыть")</f>
        <v>открыть</v>
      </c>
    </row>
    <row r="1215">
      <c r="A1215" t="inlineStr">
        <is>
          <t xml:space="preserve">Мужской</t>
        </is>
      </c>
      <c r="B1215" t="inlineStr">
        <is>
          <t xml:space="preserve">Футболки</t>
        </is>
      </c>
      <c r="C1215" t="inlineStr">
        <is>
          <t xml:space="preserve">Футболка принт камуфляж 100% плотный хлопок</t>
        </is>
      </c>
      <c r="D1215" t="inlineStr">
        <is>
          <t xml:space="preserve">SS32M04темно-серый,темно-бежевый</t>
        </is>
      </c>
      <c r="E1215" t="inlineStr">
        <is>
          <t xml:space="preserve">темно-серый, темно-бежевый, хаки</t>
        </is>
      </c>
      <c r="F1215" t="inlineStr">
        <is>
          <t xml:space="preserve">52</t>
        </is>
      </c>
      <c r="G1215">
        <v>109</v>
      </c>
      <c r="H1215" s="2">
        <v>22.0</v>
      </c>
      <c r="I1215" t="inlineStr">
        <is>
          <t xml:space="preserve">хлопок 100%</t>
        </is>
      </c>
      <c r="J1215"/>
      <c r="K1215" t="inlineStr">
        <is>
          <t xml:space="preserve">Бангладеш</t>
        </is>
      </c>
      <c r="L1215" t="inlineStr">
        <is>
          <t xml:space="preserve">6207910000</t>
        </is>
      </c>
      <c r="M1215" t="inlineStr">
        <is>
          <t xml:space="preserve">Декларация № ЕАЭС № BY/112 11.01. ТР017 122.01 08246, до 19.04.2028</t>
        </is>
      </c>
      <c r="N1215" t="inlineStr">
        <is>
          <t xml:space="preserve">36 × 30 × 1</t>
        </is>
      </c>
      <c r="O1215" t="inlineStr">
        <is>
          <t xml:space="preserve">0,25</t>
        </is>
      </c>
      <c r="P1215" t="inlineStr">
        <is>
          <t xml:space="preserve">2038096198859</t>
        </is>
      </c>
      <c r="Q1215" s="3" t="str">
        <f>HYPERLINK("https://modify.by/img/208753010/1.webp","фото")</f>
        <v>фото</v>
      </c>
      <c r="R1215" s="3" t="str">
        <f>HYPERLINK("https://modify.by/catalog/futbolki/208753010/?utm_source=price&amp;utm_medium=xlsx","открыть")</f>
        <v>открыть</v>
      </c>
    </row>
    <row r="1216">
      <c r="A1216" t="inlineStr">
        <is>
          <t xml:space="preserve">Мужской</t>
        </is>
      </c>
      <c r="B1216" t="inlineStr">
        <is>
          <t xml:space="preserve">Футболки</t>
        </is>
      </c>
      <c r="C1216" t="inlineStr">
        <is>
          <t xml:space="preserve">Футболка принт камуфляж 100% плотный хлопок</t>
        </is>
      </c>
      <c r="D1216" t="inlineStr">
        <is>
          <t xml:space="preserve">SS32M04темно-серый,темно-бежевый</t>
        </is>
      </c>
      <c r="E1216" t="inlineStr">
        <is>
          <t xml:space="preserve">темно-серый, темно-бежевый, хаки</t>
        </is>
      </c>
      <c r="F1216" t="inlineStr">
        <is>
          <t xml:space="preserve">52</t>
        </is>
      </c>
      <c r="G1216">
        <v>109</v>
      </c>
      <c r="H1216" s="2">
        <v>22.0</v>
      </c>
      <c r="I1216" t="inlineStr">
        <is>
          <t xml:space="preserve">хлопок 100%</t>
        </is>
      </c>
      <c r="J1216"/>
      <c r="K1216" t="inlineStr">
        <is>
          <t xml:space="preserve">Бангладеш</t>
        </is>
      </c>
      <c r="L1216" t="inlineStr">
        <is>
          <t xml:space="preserve">6207910000</t>
        </is>
      </c>
      <c r="M1216" t="inlineStr">
        <is>
          <t xml:space="preserve">Декларация № ЕАЭС № BY/112 11.01. ТР017 122.01 08246, до 19.04.2028</t>
        </is>
      </c>
      <c r="N1216" t="inlineStr">
        <is>
          <t xml:space="preserve">36 × 30 × 1</t>
        </is>
      </c>
      <c r="O1216" t="inlineStr">
        <is>
          <t xml:space="preserve">0,25</t>
        </is>
      </c>
      <c r="P1216" t="inlineStr">
        <is>
          <t xml:space="preserve">4816148159922</t>
        </is>
      </c>
      <c r="Q1216" s="3" t="str">
        <f>HYPERLINK("https://modify.by/img/208753010/1.webp","фото")</f>
        <v>фото</v>
      </c>
      <c r="R1216" s="3" t="str">
        <f>HYPERLINK("https://modify.by/catalog/futbolki/208753010/?utm_source=price&amp;utm_medium=xlsx","открыть")</f>
        <v>открыть</v>
      </c>
    </row>
    <row r="1217">
      <c r="A1217" t="inlineStr">
        <is>
          <t xml:space="preserve">Мужской</t>
        </is>
      </c>
      <c r="B1217" t="inlineStr">
        <is>
          <t xml:space="preserve">Футболки</t>
        </is>
      </c>
      <c r="C1217" t="inlineStr">
        <is>
          <t xml:space="preserve">Футболка принт камуфляж 100% плотный хлопок</t>
        </is>
      </c>
      <c r="D1217" t="inlineStr">
        <is>
          <t xml:space="preserve">SS32M04темно-серый,темно-бежевый</t>
        </is>
      </c>
      <c r="E1217" t="inlineStr">
        <is>
          <t xml:space="preserve">темно-серый, темно-бежевый, хаки</t>
        </is>
      </c>
      <c r="F1217" t="inlineStr">
        <is>
          <t xml:space="preserve">54</t>
        </is>
      </c>
      <c r="G1217">
        <v>39</v>
      </c>
      <c r="H1217" s="2">
        <v>22.0</v>
      </c>
      <c r="I1217" t="inlineStr">
        <is>
          <t xml:space="preserve">хлопок 100%</t>
        </is>
      </c>
      <c r="J1217"/>
      <c r="K1217" t="inlineStr">
        <is>
          <t xml:space="preserve">Бангладеш</t>
        </is>
      </c>
      <c r="L1217" t="inlineStr">
        <is>
          <t xml:space="preserve">6207910000</t>
        </is>
      </c>
      <c r="M1217" t="inlineStr">
        <is>
          <t xml:space="preserve">Декларация № ЕАЭС № BY/112 11.01. ТР017 122.01 08246, до 19.04.2028</t>
        </is>
      </c>
      <c r="N1217" t="inlineStr">
        <is>
          <t xml:space="preserve">36 × 30 × 1</t>
        </is>
      </c>
      <c r="O1217" t="inlineStr">
        <is>
          <t xml:space="preserve">0,25</t>
        </is>
      </c>
      <c r="P1217" t="inlineStr">
        <is>
          <t xml:space="preserve">2038096198866</t>
        </is>
      </c>
      <c r="Q1217" s="3" t="str">
        <f>HYPERLINK("https://modify.by/img/208753010/1.webp","фото")</f>
        <v>фото</v>
      </c>
      <c r="R1217" s="3" t="str">
        <f>HYPERLINK("https://modify.by/catalog/futbolki/208753010/?utm_source=price&amp;utm_medium=xlsx","открыть")</f>
        <v>открыть</v>
      </c>
    </row>
    <row r="1218">
      <c r="A1218" t="inlineStr">
        <is>
          <t xml:space="preserve">Мужской</t>
        </is>
      </c>
      <c r="B1218" t="inlineStr">
        <is>
          <t xml:space="preserve">Футболки</t>
        </is>
      </c>
      <c r="C1218" t="inlineStr">
        <is>
          <t xml:space="preserve">Футболка принт камуфляж 100% плотный хлопок</t>
        </is>
      </c>
      <c r="D1218" t="inlineStr">
        <is>
          <t xml:space="preserve">SS32M04темно-серый,темно-бежевый</t>
        </is>
      </c>
      <c r="E1218" t="inlineStr">
        <is>
          <t xml:space="preserve">темно-серый, темно-бежевый, хаки</t>
        </is>
      </c>
      <c r="F1218" t="inlineStr">
        <is>
          <t xml:space="preserve">54</t>
        </is>
      </c>
      <c r="G1218">
        <v>39</v>
      </c>
      <c r="H1218" s="2">
        <v>22.0</v>
      </c>
      <c r="I1218" t="inlineStr">
        <is>
          <t xml:space="preserve">хлопок 100%</t>
        </is>
      </c>
      <c r="J1218"/>
      <c r="K1218" t="inlineStr">
        <is>
          <t xml:space="preserve">Бангладеш</t>
        </is>
      </c>
      <c r="L1218" t="inlineStr">
        <is>
          <t xml:space="preserve">6207910000</t>
        </is>
      </c>
      <c r="M1218" t="inlineStr">
        <is>
          <t xml:space="preserve">Декларация № ЕАЭС № BY/112 11.01. ТР017 122.01 08246, до 19.04.2028</t>
        </is>
      </c>
      <c r="N1218" t="inlineStr">
        <is>
          <t xml:space="preserve">36 × 30 × 1</t>
        </is>
      </c>
      <c r="O1218" t="inlineStr">
        <is>
          <t xml:space="preserve">0,25</t>
        </is>
      </c>
      <c r="P1218" t="inlineStr">
        <is>
          <t xml:space="preserve">4816148159939</t>
        </is>
      </c>
      <c r="Q1218" s="3" t="str">
        <f>HYPERLINK("https://modify.by/img/208753010/1.webp","фото")</f>
        <v>фото</v>
      </c>
      <c r="R1218" s="3" t="str">
        <f>HYPERLINK("https://modify.by/catalog/futbolki/208753010/?utm_source=price&amp;utm_medium=xlsx","открыть")</f>
        <v>открыть</v>
      </c>
    </row>
    <row r="1219">
      <c r="A1219" t="inlineStr">
        <is>
          <t xml:space="preserve">Мужской</t>
        </is>
      </c>
      <c r="B1219" t="inlineStr">
        <is>
          <t xml:space="preserve">Футболки</t>
        </is>
      </c>
      <c r="C1219" t="inlineStr">
        <is>
          <t xml:space="preserve">Футболка тактическая хлопок</t>
        </is>
      </c>
      <c r="D1219" t="inlineStr">
        <is>
          <t xml:space="preserve">SS52M01Бежевый,песочный</t>
        </is>
      </c>
      <c r="E1219" t="inlineStr">
        <is>
          <t xml:space="preserve">бежевый, песочный</t>
        </is>
      </c>
      <c r="F1219" t="inlineStr">
        <is>
          <t xml:space="preserve">46</t>
        </is>
      </c>
      <c r="G1219">
        <v>68</v>
      </c>
      <c r="H1219" s="2">
        <v>21.0</v>
      </c>
      <c r="I1219" t="inlineStr">
        <is>
          <t xml:space="preserve">хлопок 100%</t>
        </is>
      </c>
      <c r="J1219"/>
      <c r="K1219" t="inlineStr">
        <is>
          <t xml:space="preserve">Бангладеш</t>
        </is>
      </c>
      <c r="L1219" t="inlineStr">
        <is>
          <t xml:space="preserve">6207910000</t>
        </is>
      </c>
      <c r="M1219" t="inlineStr">
        <is>
          <t xml:space="preserve">Декларация № ЕАЭС № BY/112 11.01. ТР017 122.01 08246, до 19.04.2028</t>
        </is>
      </c>
      <c r="N1219" t="inlineStr">
        <is>
          <t xml:space="preserve">30 × 20 × 2</t>
        </is>
      </c>
      <c r="O1219" t="inlineStr">
        <is>
          <t xml:space="preserve">0,25</t>
        </is>
      </c>
      <c r="P1219" t="inlineStr">
        <is>
          <t xml:space="preserve">4816148164995</t>
        </is>
      </c>
      <c r="Q1219" s="3" t="str">
        <f>HYPERLINK("https://modify.by/img/398537912/1.webp","фото")</f>
        <v>фото</v>
      </c>
      <c r="R1219" s="3" t="str">
        <f>HYPERLINK("https://modify.by/catalog/futbolki/398537912/?utm_source=price&amp;utm_medium=xlsx","открыть")</f>
        <v>открыть</v>
      </c>
    </row>
    <row r="1220">
      <c r="A1220" t="inlineStr">
        <is>
          <t xml:space="preserve">Мужской</t>
        </is>
      </c>
      <c r="B1220" t="inlineStr">
        <is>
          <t xml:space="preserve">Футболки</t>
        </is>
      </c>
      <c r="C1220" t="inlineStr">
        <is>
          <t xml:space="preserve">Футболка тактическая хлопок</t>
        </is>
      </c>
      <c r="D1220" t="inlineStr">
        <is>
          <t xml:space="preserve">SS52M01Бежевый,песочный</t>
        </is>
      </c>
      <c r="E1220" t="inlineStr">
        <is>
          <t xml:space="preserve">бежевый, песочный</t>
        </is>
      </c>
      <c r="F1220" t="inlineStr">
        <is>
          <t xml:space="preserve">48</t>
        </is>
      </c>
      <c r="G1220">
        <v>41</v>
      </c>
      <c r="H1220" s="2">
        <v>21.0</v>
      </c>
      <c r="I1220" t="inlineStr">
        <is>
          <t xml:space="preserve">хлопок 100%</t>
        </is>
      </c>
      <c r="J1220"/>
      <c r="K1220" t="inlineStr">
        <is>
          <t xml:space="preserve">Бангладеш</t>
        </is>
      </c>
      <c r="L1220" t="inlineStr">
        <is>
          <t xml:space="preserve">6207910000</t>
        </is>
      </c>
      <c r="M1220" t="inlineStr">
        <is>
          <t xml:space="preserve">Декларация № ЕАЭС № BY/112 11.01. ТР017 122.01 08246, до 19.04.2028</t>
        </is>
      </c>
      <c r="N1220" t="inlineStr">
        <is>
          <t xml:space="preserve">30 × 20 × 2</t>
        </is>
      </c>
      <c r="O1220" t="inlineStr">
        <is>
          <t xml:space="preserve">0,25</t>
        </is>
      </c>
      <c r="P1220" t="inlineStr">
        <is>
          <t xml:space="preserve">4816148165008</t>
        </is>
      </c>
      <c r="Q1220" s="3" t="str">
        <f>HYPERLINK("https://modify.by/img/398537912/1.webp","фото")</f>
        <v>фото</v>
      </c>
      <c r="R1220" s="3" t="str">
        <f>HYPERLINK("https://modify.by/catalog/futbolki/398537912/?utm_source=price&amp;utm_medium=xlsx","открыть")</f>
        <v>открыть</v>
      </c>
    </row>
    <row r="1221">
      <c r="A1221" t="inlineStr">
        <is>
          <t xml:space="preserve">Мужской</t>
        </is>
      </c>
      <c r="B1221" t="inlineStr">
        <is>
          <t xml:space="preserve">Футболки</t>
        </is>
      </c>
      <c r="C1221" t="inlineStr">
        <is>
          <t xml:space="preserve">Футболка тактическая хлопок</t>
        </is>
      </c>
      <c r="D1221" t="inlineStr">
        <is>
          <t xml:space="preserve">SS52M01Бежевый,песочный</t>
        </is>
      </c>
      <c r="E1221" t="inlineStr">
        <is>
          <t xml:space="preserve">бежевый, песочный</t>
        </is>
      </c>
      <c r="F1221" t="inlineStr">
        <is>
          <t xml:space="preserve">50</t>
        </is>
      </c>
      <c r="G1221">
        <v>49</v>
      </c>
      <c r="H1221" s="2">
        <v>21.0</v>
      </c>
      <c r="I1221" t="inlineStr">
        <is>
          <t xml:space="preserve">хлопок 100%</t>
        </is>
      </c>
      <c r="J1221"/>
      <c r="K1221" t="inlineStr">
        <is>
          <t xml:space="preserve">Бангладеш</t>
        </is>
      </c>
      <c r="L1221" t="inlineStr">
        <is>
          <t xml:space="preserve">6207910000</t>
        </is>
      </c>
      <c r="M1221" t="inlineStr">
        <is>
          <t xml:space="preserve">Декларация № ЕАЭС № BY/112 11.01. ТР017 122.01 08246, до 19.04.2028</t>
        </is>
      </c>
      <c r="N1221" t="inlineStr">
        <is>
          <t xml:space="preserve">30 × 20 × 2</t>
        </is>
      </c>
      <c r="O1221" t="inlineStr">
        <is>
          <t xml:space="preserve">0,25</t>
        </is>
      </c>
      <c r="P1221" t="inlineStr">
        <is>
          <t xml:space="preserve">4816148165015</t>
        </is>
      </c>
      <c r="Q1221" s="3" t="str">
        <f>HYPERLINK("https://modify.by/img/398537912/1.webp","фото")</f>
        <v>фото</v>
      </c>
      <c r="R1221" s="3" t="str">
        <f>HYPERLINK("https://modify.by/catalog/futbolki/398537912/?utm_source=price&amp;utm_medium=xlsx","открыть")</f>
        <v>открыть</v>
      </c>
    </row>
    <row r="1222">
      <c r="A1222" t="inlineStr">
        <is>
          <t xml:space="preserve">Мужской</t>
        </is>
      </c>
      <c r="B1222" t="inlineStr">
        <is>
          <t xml:space="preserve">Футболки</t>
        </is>
      </c>
      <c r="C1222" t="inlineStr">
        <is>
          <t xml:space="preserve">Футболка тактическая хлопок</t>
        </is>
      </c>
      <c r="D1222" t="inlineStr">
        <is>
          <t xml:space="preserve">SS52M01Бежевый,песочный</t>
        </is>
      </c>
      <c r="E1222" t="inlineStr">
        <is>
          <t xml:space="preserve">бежевый, песочный</t>
        </is>
      </c>
      <c r="F1222" t="inlineStr">
        <is>
          <t xml:space="preserve">52</t>
        </is>
      </c>
      <c r="G1222">
        <v>9</v>
      </c>
      <c r="H1222" s="2">
        <v>21.0</v>
      </c>
      <c r="I1222" t="inlineStr">
        <is>
          <t xml:space="preserve">хлопок 100%</t>
        </is>
      </c>
      <c r="J1222"/>
      <c r="K1222" t="inlineStr">
        <is>
          <t xml:space="preserve">Бангладеш</t>
        </is>
      </c>
      <c r="L1222" t="inlineStr">
        <is>
          <t xml:space="preserve">6207910000</t>
        </is>
      </c>
      <c r="M1222" t="inlineStr">
        <is>
          <t xml:space="preserve">Декларация № ЕАЭС № BY/112 11.01. ТР017 122.01 08246, до 19.04.2028</t>
        </is>
      </c>
      <c r="N1222" t="inlineStr">
        <is>
          <t xml:space="preserve">30 × 20 × 2</t>
        </is>
      </c>
      <c r="O1222" t="inlineStr">
        <is>
          <t xml:space="preserve">0,25</t>
        </is>
      </c>
      <c r="P1222" t="inlineStr">
        <is>
          <t xml:space="preserve">4816148165022</t>
        </is>
      </c>
      <c r="Q1222" s="3" t="str">
        <f>HYPERLINK("https://modify.by/img/398537912/1.webp","фото")</f>
        <v>фото</v>
      </c>
      <c r="R1222" s="3" t="str">
        <f>HYPERLINK("https://modify.by/catalog/futbolki/398537912/?utm_source=price&amp;utm_medium=xlsx","открыть")</f>
        <v>открыть</v>
      </c>
    </row>
    <row r="1223">
      <c r="A1223" t="inlineStr">
        <is>
          <t xml:space="preserve">Мужской</t>
        </is>
      </c>
      <c r="B1223" t="inlineStr">
        <is>
          <t xml:space="preserve">Футболки</t>
        </is>
      </c>
      <c r="C1223" t="inlineStr">
        <is>
          <t xml:space="preserve">футболка с принтом парная хлопок, светло-зеленый</t>
        </is>
      </c>
      <c r="D1223" t="inlineStr">
        <is>
          <t xml:space="preserve">SS32M04светло-зеленый</t>
        </is>
      </c>
      <c r="E1223" t="inlineStr">
        <is>
          <t xml:space="preserve">светло-зеленый</t>
        </is>
      </c>
      <c r="F1223" t="inlineStr">
        <is>
          <t xml:space="preserve">46</t>
        </is>
      </c>
      <c r="G1223">
        <v>1</v>
      </c>
      <c r="H1223" s="2">
        <v>22.0</v>
      </c>
      <c r="I1223" t="inlineStr">
        <is>
          <t xml:space="preserve">хлопок 100%</t>
        </is>
      </c>
      <c r="J1223"/>
      <c r="K1223" t="inlineStr">
        <is>
          <t xml:space="preserve">Бангладеш</t>
        </is>
      </c>
      <c r="L1223" t="inlineStr">
        <is>
          <t xml:space="preserve">6207910000</t>
        </is>
      </c>
      <c r="M1223" t="inlineStr">
        <is>
          <t xml:space="preserve">Декларация № ЕАЭС № BY/112 11.01. ТР017 122.01 08246, до 19.04.2028</t>
        </is>
      </c>
      <c r="N1223" t="inlineStr">
        <is>
          <t xml:space="preserve">36 × 30 × 2</t>
        </is>
      </c>
      <c r="O1223" t="inlineStr">
        <is>
          <t xml:space="preserve">0,25</t>
        </is>
      </c>
      <c r="P1223" t="inlineStr">
        <is>
          <t xml:space="preserve">2038096200774</t>
        </is>
      </c>
      <c r="Q1223" s="3" t="str">
        <f>HYPERLINK("https://modify.by/img/208752652/1.webp","фото")</f>
        <v>фото</v>
      </c>
      <c r="R1223" s="3" t="str">
        <f>HYPERLINK("https://modify.by/catalog/futbolki/208752652/?utm_source=price&amp;utm_medium=xlsx","открыть")</f>
        <v>открыть</v>
      </c>
    </row>
    <row r="1224">
      <c r="A1224" t="inlineStr">
        <is>
          <t xml:space="preserve">Мужской</t>
        </is>
      </c>
      <c r="B1224" t="inlineStr">
        <is>
          <t xml:space="preserve">Футболки</t>
        </is>
      </c>
      <c r="C1224" t="inlineStr">
        <is>
          <t xml:space="preserve">футболка с принтом парная хлопок, светло-серый</t>
        </is>
      </c>
      <c r="D1224" t="inlineStr">
        <is>
          <t xml:space="preserve">SS32M04серый,черный</t>
        </is>
      </c>
      <c r="E1224" t="inlineStr">
        <is>
          <t xml:space="preserve">светло-серый, серый, черный</t>
        </is>
      </c>
      <c r="F1224" t="inlineStr">
        <is>
          <t xml:space="preserve">46</t>
        </is>
      </c>
      <c r="G1224">
        <v>1</v>
      </c>
      <c r="H1224" s="2">
        <v>22.0</v>
      </c>
      <c r="I1224" t="inlineStr">
        <is>
          <t xml:space="preserve">хлопок 100%</t>
        </is>
      </c>
      <c r="J1224"/>
      <c r="K1224" t="inlineStr">
        <is>
          <t xml:space="preserve">Бангладеш</t>
        </is>
      </c>
      <c r="L1224" t="inlineStr">
        <is>
          <t xml:space="preserve">6207910000</t>
        </is>
      </c>
      <c r="M1224" t="inlineStr">
        <is>
          <t xml:space="preserve">Декларация № ЕАЭС № BY/112 11.01. ТР017 122.01 08246, до 19.04.2028</t>
        </is>
      </c>
      <c r="N1224" t="inlineStr">
        <is>
          <t xml:space="preserve">36 × 30 × 2</t>
        </is>
      </c>
      <c r="O1224" t="inlineStr">
        <is>
          <t xml:space="preserve">0,25</t>
        </is>
      </c>
      <c r="P1224" t="inlineStr">
        <is>
          <t xml:space="preserve">2038096198477</t>
        </is>
      </c>
      <c r="Q1224" s="3" t="str">
        <f>HYPERLINK("https://modify.by/img/208753001/1.webp","фото")</f>
        <v>фото</v>
      </c>
      <c r="R1224" s="3" t="str">
        <f>HYPERLINK("https://modify.by/catalog/futbolki/208753001/?utm_source=price&amp;utm_medium=xlsx","открыть")</f>
        <v>открыть</v>
      </c>
    </row>
    <row r="1225">
      <c r="A1225" t="inlineStr">
        <is>
          <t xml:space="preserve">Мужской</t>
        </is>
      </c>
      <c r="B1225" t="inlineStr">
        <is>
          <t xml:space="preserve">Футболки</t>
        </is>
      </c>
      <c r="C1225" t="inlineStr">
        <is>
          <t xml:space="preserve">футболка с принтом парная хлопок, светло-серый</t>
        </is>
      </c>
      <c r="D1225" t="inlineStr">
        <is>
          <t xml:space="preserve">SS32M04серый,черный</t>
        </is>
      </c>
      <c r="E1225" t="inlineStr">
        <is>
          <t xml:space="preserve">светло-серый, серый, черный</t>
        </is>
      </c>
      <c r="F1225" t="inlineStr">
        <is>
          <t xml:space="preserve">48</t>
        </is>
      </c>
      <c r="G1225">
        <v>1</v>
      </c>
      <c r="H1225" s="2">
        <v>22.0</v>
      </c>
      <c r="I1225" t="inlineStr">
        <is>
          <t xml:space="preserve">хлопок 100%</t>
        </is>
      </c>
      <c r="J1225"/>
      <c r="K1225" t="inlineStr">
        <is>
          <t xml:space="preserve">Бангладеш</t>
        </is>
      </c>
      <c r="L1225" t="inlineStr">
        <is>
          <t xml:space="preserve">6207910000</t>
        </is>
      </c>
      <c r="M1225" t="inlineStr">
        <is>
          <t xml:space="preserve">Декларация № ЕАЭС № BY/112 11.01. ТР017 122.01 08246, до 19.04.2028</t>
        </is>
      </c>
      <c r="N1225" t="inlineStr">
        <is>
          <t xml:space="preserve">36 × 30 × 2</t>
        </is>
      </c>
      <c r="O1225" t="inlineStr">
        <is>
          <t xml:space="preserve">0,25</t>
        </is>
      </c>
      <c r="P1225" t="inlineStr">
        <is>
          <t xml:space="preserve">2038096198484</t>
        </is>
      </c>
      <c r="Q1225" s="3" t="str">
        <f>HYPERLINK("https://modify.by/img/208753001/1.webp","фото")</f>
        <v>фото</v>
      </c>
      <c r="R1225" s="3" t="str">
        <f>HYPERLINK("https://modify.by/catalog/futbolki/208753001/?utm_source=price&amp;utm_medium=xlsx","открыть")</f>
        <v>открыть</v>
      </c>
    </row>
    <row r="1226">
      <c r="A1226" t="inlineStr">
        <is>
          <t xml:space="preserve">Мужской</t>
        </is>
      </c>
      <c r="B1226" t="inlineStr">
        <is>
          <t xml:space="preserve">Футболки</t>
        </is>
      </c>
      <c r="C1226" t="inlineStr">
        <is>
          <t xml:space="preserve">футболка с принтом парная хлопок, синий</t>
        </is>
      </c>
      <c r="D1226" t="inlineStr">
        <is>
          <t xml:space="preserve">SS32M04синий,белый</t>
        </is>
      </c>
      <c r="E1226" t="inlineStr">
        <is>
          <t xml:space="preserve">синий, белый, желтый, коричневый, зеленый</t>
        </is>
      </c>
      <c r="F1226" t="inlineStr">
        <is>
          <t xml:space="preserve">46</t>
        </is>
      </c>
      <c r="G1226">
        <v>5</v>
      </c>
      <c r="H1226" s="2">
        <v>22.0</v>
      </c>
      <c r="I1226" t="inlineStr">
        <is>
          <t xml:space="preserve">хлопок 100%</t>
        </is>
      </c>
      <c r="J1226"/>
      <c r="K1226" t="inlineStr">
        <is>
          <t xml:space="preserve">Бангладеш</t>
        </is>
      </c>
      <c r="L1226" t="inlineStr">
        <is>
          <t xml:space="preserve">6207910000</t>
        </is>
      </c>
      <c r="M1226" t="inlineStr">
        <is>
          <t xml:space="preserve">Декларация № ЕАЭС № BY/112 11.01. ТР017 122.01 08246, до 19.04.2028</t>
        </is>
      </c>
      <c r="N1226" t="inlineStr">
        <is>
          <t xml:space="preserve">29 × 37 × 2</t>
        </is>
      </c>
      <c r="O1226" t="inlineStr">
        <is>
          <t xml:space="preserve">0,25</t>
        </is>
      </c>
      <c r="P1226" t="inlineStr">
        <is>
          <t xml:space="preserve">2038096199177</t>
        </is>
      </c>
      <c r="Q1226" s="3" t="str">
        <f>HYPERLINK("https://modify.by/img/208751506/1.webp","фото")</f>
        <v>фото</v>
      </c>
      <c r="R1226" s="3" t="str">
        <f>HYPERLINK("https://modify.by/catalog/futbolki/208751506/?utm_source=price&amp;utm_medium=xlsx","открыть")</f>
        <v>открыть</v>
      </c>
    </row>
    <row r="1227">
      <c r="A1227" t="inlineStr">
        <is>
          <t xml:space="preserve">Мужской</t>
        </is>
      </c>
      <c r="B1227" t="inlineStr">
        <is>
          <t xml:space="preserve">Футболки</t>
        </is>
      </c>
      <c r="C1227" t="inlineStr">
        <is>
          <t xml:space="preserve">футболка с принтом парная хлопок, синий</t>
        </is>
      </c>
      <c r="D1227" t="inlineStr">
        <is>
          <t xml:space="preserve">SS32M04синий,белый</t>
        </is>
      </c>
      <c r="E1227" t="inlineStr">
        <is>
          <t xml:space="preserve">синий, белый, желтый, коричневый, зеленый</t>
        </is>
      </c>
      <c r="F1227" t="inlineStr">
        <is>
          <t xml:space="preserve">46</t>
        </is>
      </c>
      <c r="G1227">
        <v>5</v>
      </c>
      <c r="H1227" s="2">
        <v>22.0</v>
      </c>
      <c r="I1227" t="inlineStr">
        <is>
          <t xml:space="preserve">хлопок 100%</t>
        </is>
      </c>
      <c r="J1227"/>
      <c r="K1227" t="inlineStr">
        <is>
          <t xml:space="preserve">Бангладеш</t>
        </is>
      </c>
      <c r="L1227" t="inlineStr">
        <is>
          <t xml:space="preserve">6207910000</t>
        </is>
      </c>
      <c r="M1227" t="inlineStr">
        <is>
          <t xml:space="preserve">Декларация № ЕАЭС № BY/112 11.01. ТР017 122.01 08246, до 19.04.2028</t>
        </is>
      </c>
      <c r="N1227" t="inlineStr">
        <is>
          <t xml:space="preserve">29 × 37 × 2</t>
        </is>
      </c>
      <c r="O1227" t="inlineStr">
        <is>
          <t xml:space="preserve">0,25</t>
        </is>
      </c>
      <c r="P1227" t="inlineStr">
        <is>
          <t xml:space="preserve">4816148160256</t>
        </is>
      </c>
      <c r="Q1227" s="3" t="str">
        <f>HYPERLINK("https://modify.by/img/208751506/1.webp","фото")</f>
        <v>фото</v>
      </c>
      <c r="R1227" s="3" t="str">
        <f>HYPERLINK("https://modify.by/catalog/futbolki/208751506/?utm_source=price&amp;utm_medium=xlsx","открыть")</f>
        <v>открыть</v>
      </c>
    </row>
    <row r="1228">
      <c r="A1228" t="inlineStr">
        <is>
          <t xml:space="preserve">Мужской</t>
        </is>
      </c>
      <c r="B1228" t="inlineStr">
        <is>
          <t xml:space="preserve">Футболки</t>
        </is>
      </c>
      <c r="C1228" t="inlineStr">
        <is>
          <t xml:space="preserve">футболка с принтом парная хлопок, синий</t>
        </is>
      </c>
      <c r="D1228" t="inlineStr">
        <is>
          <t xml:space="preserve">SS32M04синий,белый</t>
        </is>
      </c>
      <c r="E1228" t="inlineStr">
        <is>
          <t xml:space="preserve">синий, белый, желтый, коричневый, зеленый</t>
        </is>
      </c>
      <c r="F1228" t="inlineStr">
        <is>
          <t xml:space="preserve">52</t>
        </is>
      </c>
      <c r="G1228">
        <v>1</v>
      </c>
      <c r="H1228" s="2">
        <v>22.0</v>
      </c>
      <c r="I1228" t="inlineStr">
        <is>
          <t xml:space="preserve">хлопок 100%</t>
        </is>
      </c>
      <c r="J1228"/>
      <c r="K1228" t="inlineStr">
        <is>
          <t xml:space="preserve">Бангладеш</t>
        </is>
      </c>
      <c r="L1228" t="inlineStr">
        <is>
          <t xml:space="preserve">6207910000</t>
        </is>
      </c>
      <c r="M1228" t="inlineStr">
        <is>
          <t xml:space="preserve">Декларация № ЕАЭС № BY/112 11.01. ТР017 122.01 08246, до 19.04.2028</t>
        </is>
      </c>
      <c r="N1228" t="inlineStr">
        <is>
          <t xml:space="preserve">29 × 37 × 2</t>
        </is>
      </c>
      <c r="O1228" t="inlineStr">
        <is>
          <t xml:space="preserve">0,25</t>
        </is>
      </c>
      <c r="P1228" t="inlineStr">
        <is>
          <t xml:space="preserve">2038096199207</t>
        </is>
      </c>
      <c r="Q1228" s="3" t="str">
        <f>HYPERLINK("https://modify.by/img/208751506/1.webp","фото")</f>
        <v>фото</v>
      </c>
      <c r="R1228" s="3" t="str">
        <f>HYPERLINK("https://modify.by/catalog/futbolki/208751506/?utm_source=price&amp;utm_medium=xlsx","открыть")</f>
        <v>открыть</v>
      </c>
    </row>
    <row r="1229">
      <c r="A1229" t="inlineStr">
        <is>
          <t xml:space="preserve">Мужской</t>
        </is>
      </c>
      <c r="B1229" t="inlineStr">
        <is>
          <t xml:space="preserve">Футболки</t>
        </is>
      </c>
      <c r="C1229" t="inlineStr">
        <is>
          <t xml:space="preserve">футболка тактическая парная хлопок, серо-зеленый</t>
        </is>
      </c>
      <c r="D1229" t="inlineStr">
        <is>
          <t xml:space="preserve">SS32M04серо-зеленый,хаки</t>
        </is>
      </c>
      <c r="E1229" t="inlineStr">
        <is>
          <t xml:space="preserve">серо-зеленый, хаки, светло-зеленый, светло-коричневый, рыжий терракот</t>
        </is>
      </c>
      <c r="F1229" t="inlineStr">
        <is>
          <t xml:space="preserve">46</t>
        </is>
      </c>
      <c r="G1229">
        <v>13</v>
      </c>
      <c r="H1229" s="2">
        <v>22.0</v>
      </c>
      <c r="I1229" t="inlineStr">
        <is>
          <t xml:space="preserve">хлопок 100%</t>
        </is>
      </c>
      <c r="J1229"/>
      <c r="K1229" t="inlineStr">
        <is>
          <t xml:space="preserve">Бангладеш</t>
        </is>
      </c>
      <c r="L1229" t="inlineStr">
        <is>
          <t xml:space="preserve">6207910000</t>
        </is>
      </c>
      <c r="M1229" t="inlineStr">
        <is>
          <t xml:space="preserve">Декларация № ЕАЭС № BY/112 11.01. ТР017 122.01 08246, до 19.04.2028</t>
        </is>
      </c>
      <c r="N1229" t="inlineStr">
        <is>
          <t xml:space="preserve">36 × 30 × 2</t>
        </is>
      </c>
      <c r="O1229" t="inlineStr">
        <is>
          <t xml:space="preserve">0,25</t>
        </is>
      </c>
      <c r="P1229" t="inlineStr">
        <is>
          <t xml:space="preserve">2038096198927</t>
        </is>
      </c>
      <c r="Q1229" s="3" t="str">
        <f>HYPERLINK("https://modify.by/img/208752999/1.webp","фото")</f>
        <v>фото</v>
      </c>
      <c r="R1229" s="3" t="str">
        <f>HYPERLINK("https://modify.by/catalog/futbolki/208752999/?utm_source=price&amp;utm_medium=xlsx","открыть")</f>
        <v>открыть</v>
      </c>
    </row>
    <row r="1230">
      <c r="A1230" t="inlineStr">
        <is>
          <t xml:space="preserve">Мужской</t>
        </is>
      </c>
      <c r="B1230" t="inlineStr">
        <is>
          <t xml:space="preserve">Футболки</t>
        </is>
      </c>
      <c r="C1230" t="inlineStr">
        <is>
          <t xml:space="preserve">футболка тактическая парная хлопок, серо-зеленый</t>
        </is>
      </c>
      <c r="D1230" t="inlineStr">
        <is>
          <t xml:space="preserve">SS32M04серо-зеленый,хаки</t>
        </is>
      </c>
      <c r="E1230" t="inlineStr">
        <is>
          <t xml:space="preserve">серо-зеленый, хаки, светло-зеленый, светло-коричневый, рыжий терракот</t>
        </is>
      </c>
      <c r="F1230" t="inlineStr">
        <is>
          <t xml:space="preserve">46</t>
        </is>
      </c>
      <c r="G1230">
        <v>13</v>
      </c>
      <c r="H1230" s="2">
        <v>22.0</v>
      </c>
      <c r="I1230" t="inlineStr">
        <is>
          <t xml:space="preserve">хлопок 100%</t>
        </is>
      </c>
      <c r="J1230"/>
      <c r="K1230" t="inlineStr">
        <is>
          <t xml:space="preserve">Бангладеш</t>
        </is>
      </c>
      <c r="L1230" t="inlineStr">
        <is>
          <t xml:space="preserve">6207910000</t>
        </is>
      </c>
      <c r="M1230" t="inlineStr">
        <is>
          <t xml:space="preserve">Декларация № ЕАЭС № BY/112 11.01. ТР017 122.01 08246, до 19.04.2028</t>
        </is>
      </c>
      <c r="N1230" t="inlineStr">
        <is>
          <t xml:space="preserve">36 × 30 × 2</t>
        </is>
      </c>
      <c r="O1230" t="inlineStr">
        <is>
          <t xml:space="preserve">0,25</t>
        </is>
      </c>
      <c r="P1230" t="inlineStr">
        <is>
          <t xml:space="preserve">4816148159991</t>
        </is>
      </c>
      <c r="Q1230" s="3" t="str">
        <f>HYPERLINK("https://modify.by/img/208752999/1.webp","фото")</f>
        <v>фото</v>
      </c>
      <c r="R1230" s="3" t="str">
        <f>HYPERLINK("https://modify.by/catalog/futbolki/208752999/?utm_source=price&amp;utm_medium=xlsx","открыть")</f>
        <v>открыть</v>
      </c>
    </row>
    <row r="1231">
      <c r="A1231" t="inlineStr">
        <is>
          <t xml:space="preserve">Мужской</t>
        </is>
      </c>
      <c r="B1231" t="inlineStr">
        <is>
          <t xml:space="preserve">Футболки</t>
        </is>
      </c>
      <c r="C1231" t="inlineStr">
        <is>
          <t xml:space="preserve">футболка тактическая парная хлопок, серо-зеленый</t>
        </is>
      </c>
      <c r="D1231" t="inlineStr">
        <is>
          <t xml:space="preserve">SS32M04серо-зеленый,хаки</t>
        </is>
      </c>
      <c r="E1231" t="inlineStr">
        <is>
          <t xml:space="preserve">серо-зеленый, хаки, светло-зеленый, светло-коричневый, рыжий терракот</t>
        </is>
      </c>
      <c r="F1231" t="inlineStr">
        <is>
          <t xml:space="preserve">48</t>
        </is>
      </c>
      <c r="G1231">
        <v>13</v>
      </c>
      <c r="H1231" s="2">
        <v>22.0</v>
      </c>
      <c r="I1231" t="inlineStr">
        <is>
          <t xml:space="preserve">хлопок 100%</t>
        </is>
      </c>
      <c r="J1231"/>
      <c r="K1231" t="inlineStr">
        <is>
          <t xml:space="preserve">Бангладеш</t>
        </is>
      </c>
      <c r="L1231" t="inlineStr">
        <is>
          <t xml:space="preserve">6207910000</t>
        </is>
      </c>
      <c r="M1231" t="inlineStr">
        <is>
          <t xml:space="preserve">Декларация № ЕАЭС № BY/112 11.01. ТР017 122.01 08246, до 19.04.2028</t>
        </is>
      </c>
      <c r="N1231" t="inlineStr">
        <is>
          <t xml:space="preserve">36 × 30 × 2</t>
        </is>
      </c>
      <c r="O1231" t="inlineStr">
        <is>
          <t xml:space="preserve">0,25</t>
        </is>
      </c>
      <c r="P1231" t="inlineStr">
        <is>
          <t xml:space="preserve">2038096198934</t>
        </is>
      </c>
      <c r="Q1231" s="3" t="str">
        <f>HYPERLINK("https://modify.by/img/208752999/1.webp","фото")</f>
        <v>фото</v>
      </c>
      <c r="R1231" s="3" t="str">
        <f>HYPERLINK("https://modify.by/catalog/futbolki/208752999/?utm_source=price&amp;utm_medium=xlsx","открыть")</f>
        <v>открыть</v>
      </c>
    </row>
    <row r="1232">
      <c r="A1232" t="inlineStr">
        <is>
          <t xml:space="preserve">Мужской</t>
        </is>
      </c>
      <c r="B1232" t="inlineStr">
        <is>
          <t xml:space="preserve">Футболки</t>
        </is>
      </c>
      <c r="C1232" t="inlineStr">
        <is>
          <t xml:space="preserve">футболка тактическая парная хлопок, серо-зеленый</t>
        </is>
      </c>
      <c r="D1232" t="inlineStr">
        <is>
          <t xml:space="preserve">SS32M04серо-зеленый,хаки</t>
        </is>
      </c>
      <c r="E1232" t="inlineStr">
        <is>
          <t xml:space="preserve">серо-зеленый, хаки, светло-зеленый, светло-коричневый, рыжий терракот</t>
        </is>
      </c>
      <c r="F1232" t="inlineStr">
        <is>
          <t xml:space="preserve">48</t>
        </is>
      </c>
      <c r="G1232">
        <v>13</v>
      </c>
      <c r="H1232" s="2">
        <v>22.0</v>
      </c>
      <c r="I1232" t="inlineStr">
        <is>
          <t xml:space="preserve">хлопок 100%</t>
        </is>
      </c>
      <c r="J1232"/>
      <c r="K1232" t="inlineStr">
        <is>
          <t xml:space="preserve">Бангладеш</t>
        </is>
      </c>
      <c r="L1232" t="inlineStr">
        <is>
          <t xml:space="preserve">6207910000</t>
        </is>
      </c>
      <c r="M1232" t="inlineStr">
        <is>
          <t xml:space="preserve">Декларация № ЕАЭС № BY/112 11.01. ТР017 122.01 08246, до 19.04.2028</t>
        </is>
      </c>
      <c r="N1232" t="inlineStr">
        <is>
          <t xml:space="preserve">36 × 30 × 2</t>
        </is>
      </c>
      <c r="O1232" t="inlineStr">
        <is>
          <t xml:space="preserve">0,25</t>
        </is>
      </c>
      <c r="P1232" t="inlineStr">
        <is>
          <t xml:space="preserve">4816148160010</t>
        </is>
      </c>
      <c r="Q1232" s="3" t="str">
        <f>HYPERLINK("https://modify.by/img/208752999/1.webp","фото")</f>
        <v>фото</v>
      </c>
      <c r="R1232" s="3" t="str">
        <f>HYPERLINK("https://modify.by/catalog/futbolki/208752999/?utm_source=price&amp;utm_medium=xlsx","открыть")</f>
        <v>открыть</v>
      </c>
    </row>
    <row r="1233">
      <c r="A1233" t="inlineStr">
        <is>
          <t xml:space="preserve">Мужской</t>
        </is>
      </c>
      <c r="B1233" t="inlineStr">
        <is>
          <t xml:space="preserve">Футболки</t>
        </is>
      </c>
      <c r="C1233" t="inlineStr">
        <is>
          <t xml:space="preserve">футболка тактическая парная хлопок, темно-зеленый</t>
        </is>
      </c>
      <c r="D1233" t="inlineStr">
        <is>
          <t xml:space="preserve">SS32M04темно-зеленый,хаки</t>
        </is>
      </c>
      <c r="E1233" t="inlineStr">
        <is>
          <t xml:space="preserve">темно-зеленый, хаки</t>
        </is>
      </c>
      <c r="F1233" t="inlineStr">
        <is>
          <t xml:space="preserve">48</t>
        </is>
      </c>
      <c r="G1233">
        <v>4</v>
      </c>
      <c r="H1233" s="2">
        <v>22.0</v>
      </c>
      <c r="I1233" t="inlineStr">
        <is>
          <t xml:space="preserve">хлопок 100%</t>
        </is>
      </c>
      <c r="J1233"/>
      <c r="K1233" t="inlineStr">
        <is>
          <t xml:space="preserve">Бангладеш</t>
        </is>
      </c>
      <c r="L1233" t="inlineStr">
        <is>
          <t xml:space="preserve">6207910000</t>
        </is>
      </c>
      <c r="M1233" t="inlineStr">
        <is>
          <t xml:space="preserve">Декларация № ЕАЭС № BY/112 11.01. ТР017 122.01 08246, до 19.04.2028</t>
        </is>
      </c>
      <c r="N1233" t="inlineStr">
        <is>
          <t xml:space="preserve">36 × 30 × 2</t>
        </is>
      </c>
      <c r="O1233" t="inlineStr">
        <is>
          <t xml:space="preserve">0,25</t>
        </is>
      </c>
      <c r="P1233" t="inlineStr">
        <is>
          <t xml:space="preserve">2038096200989</t>
        </is>
      </c>
      <c r="Q1233" s="3" t="str">
        <f>HYPERLINK("https://modify.by/img/208752995/1.webp","фото")</f>
        <v>фото</v>
      </c>
      <c r="R1233" s="3" t="str">
        <f>HYPERLINK("https://modify.by/catalog/futbolki/208752995/?utm_source=price&amp;utm_medium=xlsx","открыть")</f>
        <v>открыть</v>
      </c>
    </row>
    <row r="1234">
      <c r="A1234" t="inlineStr">
        <is>
          <t xml:space="preserve">Мужской</t>
        </is>
      </c>
      <c r="B1234" t="inlineStr">
        <is>
          <t xml:space="preserve">Худи</t>
        </is>
      </c>
      <c r="C1234" t="inlineStr">
        <is>
          <t xml:space="preserve">Байка оверсайз теплая с капюшоном</t>
        </is>
      </c>
      <c r="D1234" t="inlineStr">
        <is>
          <t xml:space="preserve">HO52M01синий,белый,серый</t>
        </is>
      </c>
      <c r="E1234" t="inlineStr">
        <is>
          <t xml:space="preserve">темно-синий, белый, серый меланж</t>
        </is>
      </c>
      <c r="F1234" t="inlineStr">
        <is>
          <t xml:space="preserve">46</t>
        </is>
      </c>
      <c r="G1234">
        <v>5</v>
      </c>
      <c r="H1234" s="2">
        <v>54.0</v>
      </c>
      <c r="I1234" t="inlineStr">
        <is>
          <t xml:space="preserve">байка, футр, 60% хлопок, 40% полиэстер</t>
        </is>
      </c>
      <c r="J1234"/>
      <c r="K1234" t="inlineStr">
        <is>
          <t xml:space="preserve">Бангладеш</t>
        </is>
      </c>
      <c r="L1234" t="inlineStr">
        <is>
          <t xml:space="preserve">6110209100</t>
        </is>
      </c>
      <c r="M1234" t="inlineStr">
        <is>
          <t xml:space="preserve">Декларация № ЕАЭС № BY/112 11.01. ТР017 122.01 08246, до 19.04.2028</t>
        </is>
      </c>
      <c r="N1234" t="inlineStr">
        <is>
          <t xml:space="preserve">36 × 28 × 5</t>
        </is>
      </c>
      <c r="O1234" t="inlineStr">
        <is>
          <t xml:space="preserve">0,56</t>
        </is>
      </c>
      <c r="P1234" t="inlineStr">
        <is>
          <t xml:space="preserve">4816148164469</t>
        </is>
      </c>
      <c r="Q1234" s="3" t="str">
        <f>HYPERLINK("https://modify.by/img/553168708/1.webp","фото")</f>
        <v>фото</v>
      </c>
      <c r="R1234" s="3" t="str">
        <f>HYPERLINK("https://modify.by/catalog/hudi/553168708/?utm_source=price&amp;utm_medium=xlsx","открыть")</f>
        <v>открыть</v>
      </c>
    </row>
    <row r="1235">
      <c r="A1235" t="inlineStr">
        <is>
          <t xml:space="preserve">Мужской</t>
        </is>
      </c>
      <c r="B1235" t="inlineStr">
        <is>
          <t xml:space="preserve">Худи</t>
        </is>
      </c>
      <c r="C1235" t="inlineStr">
        <is>
          <t xml:space="preserve">Байка оверсайз теплая с капюшоном</t>
        </is>
      </c>
      <c r="D1235" t="inlineStr">
        <is>
          <t xml:space="preserve">HO52M01синий,белый,серый</t>
        </is>
      </c>
      <c r="E1235" t="inlineStr">
        <is>
          <t xml:space="preserve">темно-синий, белый, серый меланж</t>
        </is>
      </c>
      <c r="F1235" t="inlineStr">
        <is>
          <t xml:space="preserve">48</t>
        </is>
      </c>
      <c r="G1235">
        <v>4</v>
      </c>
      <c r="H1235" s="2">
        <v>54.0</v>
      </c>
      <c r="I1235" t="inlineStr">
        <is>
          <t xml:space="preserve">байка, футр, 60% хлопок, 40% полиэстер</t>
        </is>
      </c>
      <c r="J1235"/>
      <c r="K1235" t="inlineStr">
        <is>
          <t xml:space="preserve">Бангладеш</t>
        </is>
      </c>
      <c r="L1235" t="inlineStr">
        <is>
          <t xml:space="preserve">6110209100</t>
        </is>
      </c>
      <c r="M1235" t="inlineStr">
        <is>
          <t xml:space="preserve">Декларация № ЕАЭС № BY/112 11.01. ТР017 122.01 08246, до 19.04.2028</t>
        </is>
      </c>
      <c r="N1235" t="inlineStr">
        <is>
          <t xml:space="preserve">36 × 28 × 5</t>
        </is>
      </c>
      <c r="O1235" t="inlineStr">
        <is>
          <t xml:space="preserve">0,56</t>
        </is>
      </c>
      <c r="P1235" t="inlineStr">
        <is>
          <t xml:space="preserve">4816148164476</t>
        </is>
      </c>
      <c r="Q1235" s="3" t="str">
        <f>HYPERLINK("https://modify.by/img/553168708/1.webp","фото")</f>
        <v>фото</v>
      </c>
      <c r="R1235" s="3" t="str">
        <f>HYPERLINK("https://modify.by/catalog/hudi/553168708/?utm_source=price&amp;utm_medium=xlsx","открыть")</f>
        <v>открыть</v>
      </c>
    </row>
    <row r="1236">
      <c r="A1236" t="inlineStr">
        <is>
          <t xml:space="preserve">Мужской</t>
        </is>
      </c>
      <c r="B1236" t="inlineStr">
        <is>
          <t xml:space="preserve">Худи</t>
        </is>
      </c>
      <c r="C1236" t="inlineStr">
        <is>
          <t xml:space="preserve">Байка оверсайз теплая с капюшоном</t>
        </is>
      </c>
      <c r="D1236" t="inlineStr">
        <is>
          <t xml:space="preserve">HO52M01синий,белый,серый</t>
        </is>
      </c>
      <c r="E1236" t="inlineStr">
        <is>
          <t xml:space="preserve">темно-синий, белый, серый меланж</t>
        </is>
      </c>
      <c r="F1236" t="inlineStr">
        <is>
          <t xml:space="preserve">52</t>
        </is>
      </c>
      <c r="G1236">
        <v>17</v>
      </c>
      <c r="H1236" s="2">
        <v>54.0</v>
      </c>
      <c r="I1236" t="inlineStr">
        <is>
          <t xml:space="preserve">байка, футр, 60% хлопок, 40% полиэстер</t>
        </is>
      </c>
      <c r="J1236"/>
      <c r="K1236" t="inlineStr">
        <is>
          <t xml:space="preserve">Бангладеш</t>
        </is>
      </c>
      <c r="L1236" t="inlineStr">
        <is>
          <t xml:space="preserve">6110209100</t>
        </is>
      </c>
      <c r="M1236" t="inlineStr">
        <is>
          <t xml:space="preserve">Декларация № ЕАЭС № BY/112 11.01. ТР017 122.01 08246, до 19.04.2028</t>
        </is>
      </c>
      <c r="N1236" t="inlineStr">
        <is>
          <t xml:space="preserve">36 × 28 × 5</t>
        </is>
      </c>
      <c r="O1236" t="inlineStr">
        <is>
          <t xml:space="preserve">0,56</t>
        </is>
      </c>
      <c r="P1236" t="inlineStr">
        <is>
          <t xml:space="preserve">4816148164490</t>
        </is>
      </c>
      <c r="Q1236" s="3" t="str">
        <f>HYPERLINK("https://modify.by/img/553168708/1.webp","фото")</f>
        <v>фото</v>
      </c>
      <c r="R1236" s="3" t="str">
        <f>HYPERLINK("https://modify.by/catalog/hudi/553168708/?utm_source=price&amp;utm_medium=xlsx","открыть")</f>
        <v>открыть</v>
      </c>
    </row>
    <row r="1237">
      <c r="A1237" t="inlineStr">
        <is>
          <t xml:space="preserve">Мужской</t>
        </is>
      </c>
      <c r="B1237" t="inlineStr">
        <is>
          <t xml:space="preserve">Худи</t>
        </is>
      </c>
      <c r="C1237" t="inlineStr">
        <is>
          <t xml:space="preserve">Джемпер хлопковый с воротником-стойкой и шнурками, серый</t>
        </is>
      </c>
      <c r="D1237" t="inlineStr">
        <is>
          <t xml:space="preserve">HO62M02серый</t>
        </is>
      </c>
      <c r="E1237" t="inlineStr">
        <is>
          <t xml:space="preserve">серый, серый меланж</t>
        </is>
      </c>
      <c r="F1237" t="inlineStr">
        <is>
          <t xml:space="preserve">44</t>
        </is>
      </c>
      <c r="G1237">
        <v>2</v>
      </c>
      <c r="H1237" s="2">
        <v>30.0</v>
      </c>
      <c r="I1237" t="inlineStr">
        <is>
          <t xml:space="preserve">хлопок 100%</t>
        </is>
      </c>
      <c r="J1237"/>
      <c r="K1237" t="inlineStr">
        <is>
          <t xml:space="preserve">Бангладеш</t>
        </is>
      </c>
      <c r="L1237" t="inlineStr">
        <is>
          <t xml:space="preserve">6110209100</t>
        </is>
      </c>
      <c r="M1237" t="inlineStr">
        <is>
          <t xml:space="preserve">Декларация № ЕАЭС № BY/112 11.01. ТР017 122.01 08246, до 19.04.2028</t>
        </is>
      </c>
      <c r="N1237" t="inlineStr">
        <is>
          <t xml:space="preserve">37 × 30 × 3</t>
        </is>
      </c>
      <c r="O1237" t="inlineStr">
        <is>
          <t xml:space="preserve">0,36</t>
        </is>
      </c>
      <c r="P1237" t="inlineStr">
        <is>
          <t xml:space="preserve">4816148173799</t>
        </is>
      </c>
      <c r="Q1237" s="3" t="str">
        <f>HYPERLINK("https://modify.by/img/693145672/1.webp","фото")</f>
        <v>фото</v>
      </c>
      <c r="R1237" s="3" t="str">
        <f>HYPERLINK("https://modify.by/catalog/hudi/693145672/?utm_source=price&amp;utm_medium=xlsx","открыть")</f>
        <v>открыть</v>
      </c>
    </row>
    <row r="1238">
      <c r="A1238" t="inlineStr">
        <is>
          <t xml:space="preserve">Мужской</t>
        </is>
      </c>
      <c r="B1238" t="inlineStr">
        <is>
          <t xml:space="preserve">Худи</t>
        </is>
      </c>
      <c r="C1238" t="inlineStr">
        <is>
          <t xml:space="preserve">Джемпер хлопковый с воротником-стойкой и шнурками, серый</t>
        </is>
      </c>
      <c r="D1238" t="inlineStr">
        <is>
          <t xml:space="preserve">HO62M02серый</t>
        </is>
      </c>
      <c r="E1238" t="inlineStr">
        <is>
          <t xml:space="preserve">серый, серый меланж</t>
        </is>
      </c>
      <c r="F1238" t="inlineStr">
        <is>
          <t xml:space="preserve">46</t>
        </is>
      </c>
      <c r="G1238">
        <v>47</v>
      </c>
      <c r="H1238" s="2">
        <v>30.0</v>
      </c>
      <c r="I1238" t="inlineStr">
        <is>
          <t xml:space="preserve">хлопок 100%</t>
        </is>
      </c>
      <c r="J1238"/>
      <c r="K1238" t="inlineStr">
        <is>
          <t xml:space="preserve">Бангладеш</t>
        </is>
      </c>
      <c r="L1238" t="inlineStr">
        <is>
          <t xml:space="preserve">6110209100</t>
        </is>
      </c>
      <c r="M1238" t="inlineStr">
        <is>
          <t xml:space="preserve">Декларация № ЕАЭС № BY/112 11.01. ТР017 122.01 08246, до 19.04.2028</t>
        </is>
      </c>
      <c r="N1238" t="inlineStr">
        <is>
          <t xml:space="preserve">37 × 30 × 3</t>
        </is>
      </c>
      <c r="O1238" t="inlineStr">
        <is>
          <t xml:space="preserve">0,36</t>
        </is>
      </c>
      <c r="P1238" t="inlineStr">
        <is>
          <t xml:space="preserve">4816148173805</t>
        </is>
      </c>
      <c r="Q1238" s="3" t="str">
        <f>HYPERLINK("https://modify.by/img/693145672/1.webp","фото")</f>
        <v>фото</v>
      </c>
      <c r="R1238" s="3" t="str">
        <f>HYPERLINK("https://modify.by/catalog/hudi/693145672/?utm_source=price&amp;utm_medium=xlsx","открыть")</f>
        <v>открыть</v>
      </c>
    </row>
    <row r="1239">
      <c r="A1239" t="inlineStr">
        <is>
          <t xml:space="preserve">Мужской</t>
        </is>
      </c>
      <c r="B1239" t="inlineStr">
        <is>
          <t xml:space="preserve">Худи</t>
        </is>
      </c>
      <c r="C1239" t="inlineStr">
        <is>
          <t xml:space="preserve">Джемпер хлопковый с воротником-стойкой и шнурками, серый</t>
        </is>
      </c>
      <c r="D1239" t="inlineStr">
        <is>
          <t xml:space="preserve">HO62M02серый</t>
        </is>
      </c>
      <c r="E1239" t="inlineStr">
        <is>
          <t xml:space="preserve">серый, серый меланж</t>
        </is>
      </c>
      <c r="F1239" t="inlineStr">
        <is>
          <t xml:space="preserve">48</t>
        </is>
      </c>
      <c r="G1239">
        <v>27</v>
      </c>
      <c r="H1239" s="2">
        <v>30.0</v>
      </c>
      <c r="I1239" t="inlineStr">
        <is>
          <t xml:space="preserve">хлопок 100%</t>
        </is>
      </c>
      <c r="J1239"/>
      <c r="K1239" t="inlineStr">
        <is>
          <t xml:space="preserve">Бангладеш</t>
        </is>
      </c>
      <c r="L1239" t="inlineStr">
        <is>
          <t xml:space="preserve">6110209100</t>
        </is>
      </c>
      <c r="M1239" t="inlineStr">
        <is>
          <t xml:space="preserve">Декларация № ЕАЭС № BY/112 11.01. ТР017 122.01 08246, до 19.04.2028</t>
        </is>
      </c>
      <c r="N1239" t="inlineStr">
        <is>
          <t xml:space="preserve">37 × 30 × 3</t>
        </is>
      </c>
      <c r="O1239" t="inlineStr">
        <is>
          <t xml:space="preserve">0,36</t>
        </is>
      </c>
      <c r="P1239" t="inlineStr">
        <is>
          <t xml:space="preserve">4816148173812</t>
        </is>
      </c>
      <c r="Q1239" s="3" t="str">
        <f>HYPERLINK("https://modify.by/img/693145672/1.webp","фото")</f>
        <v>фото</v>
      </c>
      <c r="R1239" s="3" t="str">
        <f>HYPERLINK("https://modify.by/catalog/hudi/693145672/?utm_source=price&amp;utm_medium=xlsx","открыть")</f>
        <v>открыть</v>
      </c>
    </row>
    <row r="1240">
      <c r="A1240" t="inlineStr">
        <is>
          <t xml:space="preserve">Мужской</t>
        </is>
      </c>
      <c r="B1240" t="inlineStr">
        <is>
          <t xml:space="preserve">Худи</t>
        </is>
      </c>
      <c r="C1240" t="inlineStr">
        <is>
          <t xml:space="preserve">Джемпер хлопковый с воротником-стойкой и шнурками, серый</t>
        </is>
      </c>
      <c r="D1240" t="inlineStr">
        <is>
          <t xml:space="preserve">HO62M02серый</t>
        </is>
      </c>
      <c r="E1240" t="inlineStr">
        <is>
          <t xml:space="preserve">серый, серый меланж</t>
        </is>
      </c>
      <c r="F1240" t="inlineStr">
        <is>
          <t xml:space="preserve">50</t>
        </is>
      </c>
      <c r="G1240">
        <v>5</v>
      </c>
      <c r="H1240" s="2">
        <v>30.0</v>
      </c>
      <c r="I1240" t="inlineStr">
        <is>
          <t xml:space="preserve">хлопок 100%</t>
        </is>
      </c>
      <c r="J1240"/>
      <c r="K1240" t="inlineStr">
        <is>
          <t xml:space="preserve">Бангладеш</t>
        </is>
      </c>
      <c r="L1240" t="inlineStr">
        <is>
          <t xml:space="preserve">6110209100</t>
        </is>
      </c>
      <c r="M1240" t="inlineStr">
        <is>
          <t xml:space="preserve">Декларация № ЕАЭС № BY/112 11.01. ТР017 122.01 08246, до 19.04.2028</t>
        </is>
      </c>
      <c r="N1240" t="inlineStr">
        <is>
          <t xml:space="preserve">37 × 30 × 3</t>
        </is>
      </c>
      <c r="O1240" t="inlineStr">
        <is>
          <t xml:space="preserve">0,36</t>
        </is>
      </c>
      <c r="P1240" t="inlineStr">
        <is>
          <t xml:space="preserve">4816148173829</t>
        </is>
      </c>
      <c r="Q1240" s="3" t="str">
        <f>HYPERLINK("https://modify.by/img/693145672/1.webp","фото")</f>
        <v>фото</v>
      </c>
      <c r="R1240" s="3" t="str">
        <f>HYPERLINK("https://modify.by/catalog/hudi/693145672/?utm_source=price&amp;utm_medium=xlsx","открыть")</f>
        <v>открыть</v>
      </c>
    </row>
    <row r="1241">
      <c r="A1241" t="inlineStr">
        <is>
          <t xml:space="preserve">Мужской</t>
        </is>
      </c>
      <c r="B1241" t="inlineStr">
        <is>
          <t xml:space="preserve">Худи</t>
        </is>
      </c>
      <c r="C1241" t="inlineStr">
        <is>
          <t xml:space="preserve">Джемпер хлопковый с воротником-стойкой и шнурками, темно-синий</t>
        </is>
      </c>
      <c r="D1241" t="inlineStr">
        <is>
          <t xml:space="preserve">HO62M02темно-синий</t>
        </is>
      </c>
      <c r="E1241" t="inlineStr">
        <is>
          <t xml:space="preserve">темно-синий</t>
        </is>
      </c>
      <c r="F1241" t="inlineStr">
        <is>
          <t xml:space="preserve">46</t>
        </is>
      </c>
      <c r="G1241">
        <v>28</v>
      </c>
      <c r="H1241" s="2">
        <v>30.0</v>
      </c>
      <c r="I1241" t="inlineStr">
        <is>
          <t xml:space="preserve">хлопок 100%</t>
        </is>
      </c>
      <c r="J1241"/>
      <c r="K1241" t="inlineStr">
        <is>
          <t xml:space="preserve">Бангладеш</t>
        </is>
      </c>
      <c r="L1241" t="inlineStr">
        <is>
          <t xml:space="preserve">6110209100</t>
        </is>
      </c>
      <c r="M1241" t="inlineStr">
        <is>
          <t xml:space="preserve">Декларация № ЕАЭС № BY/112 11.01. ТР017 122.01 08246, до 19.04.2028</t>
        </is>
      </c>
      <c r="N1241" t="inlineStr">
        <is>
          <t xml:space="preserve">37 × 30 × 3</t>
        </is>
      </c>
      <c r="O1241" t="inlineStr">
        <is>
          <t xml:space="preserve">0,36</t>
        </is>
      </c>
      <c r="P1241" t="inlineStr">
        <is>
          <t xml:space="preserve">4816148173751</t>
        </is>
      </c>
      <c r="Q1241" s="3" t="str">
        <f>HYPERLINK("https://modify.by/img/693145671/1.webp","фото")</f>
        <v>фото</v>
      </c>
      <c r="R1241" s="3" t="str">
        <f>HYPERLINK("https://modify.by/catalog/hudi/693145671/?utm_source=price&amp;utm_medium=xlsx","открыть")</f>
        <v>открыть</v>
      </c>
    </row>
    <row r="1242">
      <c r="A1242" t="inlineStr">
        <is>
          <t xml:space="preserve">Мужской</t>
        </is>
      </c>
      <c r="B1242" t="inlineStr">
        <is>
          <t xml:space="preserve">Худи</t>
        </is>
      </c>
      <c r="C1242" t="inlineStr">
        <is>
          <t xml:space="preserve">Джемпер хлопковый с воротником-стойкой и шнурками, темно-синий</t>
        </is>
      </c>
      <c r="D1242" t="inlineStr">
        <is>
          <t xml:space="preserve">HO62M02темно-синий</t>
        </is>
      </c>
      <c r="E1242" t="inlineStr">
        <is>
          <t xml:space="preserve">темно-синий</t>
        </is>
      </c>
      <c r="F1242" t="inlineStr">
        <is>
          <t xml:space="preserve">48</t>
        </is>
      </c>
      <c r="G1242">
        <v>20</v>
      </c>
      <c r="H1242" s="2">
        <v>30.0</v>
      </c>
      <c r="I1242" t="inlineStr">
        <is>
          <t xml:space="preserve">хлопок 100%</t>
        </is>
      </c>
      <c r="J1242"/>
      <c r="K1242" t="inlineStr">
        <is>
          <t xml:space="preserve">Бангладеш</t>
        </is>
      </c>
      <c r="L1242" t="inlineStr">
        <is>
          <t xml:space="preserve">6110209100</t>
        </is>
      </c>
      <c r="M1242" t="inlineStr">
        <is>
          <t xml:space="preserve">Декларация № ЕАЭС № BY/112 11.01. ТР017 122.01 08246, до 19.04.2028</t>
        </is>
      </c>
      <c r="N1242" t="inlineStr">
        <is>
          <t xml:space="preserve">37 × 30 × 3</t>
        </is>
      </c>
      <c r="O1242" t="inlineStr">
        <is>
          <t xml:space="preserve">0,36</t>
        </is>
      </c>
      <c r="P1242" t="inlineStr">
        <is>
          <t xml:space="preserve">4816148173768</t>
        </is>
      </c>
      <c r="Q1242" s="3" t="str">
        <f>HYPERLINK("https://modify.by/img/693145671/1.webp","фото")</f>
        <v>фото</v>
      </c>
      <c r="R1242" s="3" t="str">
        <f>HYPERLINK("https://modify.by/catalog/hudi/693145671/?utm_source=price&amp;utm_medium=xlsx","открыть")</f>
        <v>открыть</v>
      </c>
    </row>
    <row r="1243">
      <c r="A1243" t="inlineStr">
        <is>
          <t xml:space="preserve">Мужской</t>
        </is>
      </c>
      <c r="B1243" t="inlineStr">
        <is>
          <t xml:space="preserve">Худи</t>
        </is>
      </c>
      <c r="C1243" t="inlineStr">
        <is>
          <t xml:space="preserve">Джемпер хлопковый с воротником-стойкой и шнурками, темно-синий</t>
        </is>
      </c>
      <c r="D1243" t="inlineStr">
        <is>
          <t xml:space="preserve">HO62M02темно-синий</t>
        </is>
      </c>
      <c r="E1243" t="inlineStr">
        <is>
          <t xml:space="preserve">темно-синий</t>
        </is>
      </c>
      <c r="F1243" t="inlineStr">
        <is>
          <t xml:space="preserve">50</t>
        </is>
      </c>
      <c r="G1243">
        <v>3</v>
      </c>
      <c r="H1243" s="2">
        <v>30.0</v>
      </c>
      <c r="I1243" t="inlineStr">
        <is>
          <t xml:space="preserve">хлопок 100%</t>
        </is>
      </c>
      <c r="J1243"/>
      <c r="K1243" t="inlineStr">
        <is>
          <t xml:space="preserve">Бангладеш</t>
        </is>
      </c>
      <c r="L1243" t="inlineStr">
        <is>
          <t xml:space="preserve">6110209100</t>
        </is>
      </c>
      <c r="M1243" t="inlineStr">
        <is>
          <t xml:space="preserve">Декларация № ЕАЭС № BY/112 11.01. ТР017 122.01 08246, до 19.04.2028</t>
        </is>
      </c>
      <c r="N1243" t="inlineStr">
        <is>
          <t xml:space="preserve">37 × 30 × 3</t>
        </is>
      </c>
      <c r="O1243" t="inlineStr">
        <is>
          <t xml:space="preserve">0,36</t>
        </is>
      </c>
      <c r="P1243" t="inlineStr">
        <is>
          <t xml:space="preserve">4816148173775</t>
        </is>
      </c>
      <c r="Q1243" s="3" t="str">
        <f>HYPERLINK("https://modify.by/img/693145671/1.webp","фото")</f>
        <v>фото</v>
      </c>
      <c r="R1243" s="3" t="str">
        <f>HYPERLINK("https://modify.by/catalog/hudi/693145671/?utm_source=price&amp;utm_medium=xlsx","открыть")</f>
        <v>открыть</v>
      </c>
    </row>
    <row r="1244">
      <c r="A1244" t="inlineStr">
        <is>
          <t xml:space="preserve">Мужской</t>
        </is>
      </c>
      <c r="B1244" t="inlineStr">
        <is>
          <t xml:space="preserve">Худи</t>
        </is>
      </c>
      <c r="C1244" t="inlineStr">
        <is>
          <t xml:space="preserve">Худи с капюшоном и карманом</t>
        </is>
      </c>
      <c r="D1244" t="inlineStr">
        <is>
          <t xml:space="preserve">HO32M03Бежевый</t>
        </is>
      </c>
      <c r="E1244" t="inlineStr">
        <is>
          <t xml:space="preserve">бежевый</t>
        </is>
      </c>
      <c r="F1244" t="inlineStr">
        <is>
          <t xml:space="preserve">46/170</t>
        </is>
      </c>
      <c r="G1244">
        <v>1</v>
      </c>
      <c r="H1244" s="2">
        <v>36.0</v>
      </c>
      <c r="I1244" t="inlineStr">
        <is>
          <t xml:space="preserve">полиэстер 50% акрил 20% полиамид 19% шерсть 5%</t>
        </is>
      </c>
      <c r="J1244"/>
      <c r="K1244" t="inlineStr">
        <is>
          <t xml:space="preserve">Бангладеш</t>
        </is>
      </c>
      <c r="L1244" t="inlineStr">
        <is>
          <t xml:space="preserve">6110309100</t>
        </is>
      </c>
      <c r="M1244" t="inlineStr">
        <is>
          <t xml:space="preserve">Декларация № ЕАЭС № BY/112 11.01. ТР017 122.01 08246, до 19.04.2028</t>
        </is>
      </c>
      <c r="N1244"/>
      <c r="O1244"/>
      <c r="P1244" t="inlineStr">
        <is>
          <t xml:space="preserve">2026620752288</t>
        </is>
      </c>
      <c r="Q1244" s="3" t="str">
        <f>HYPERLINK("https://modify.by/img/171131766/1.webp","фото")</f>
        <v>фото</v>
      </c>
      <c r="R1244" s="3" t="str">
        <f>HYPERLINK("https://modify.by/catalog/hudi/171131766/?utm_source=price&amp;utm_medium=xlsx","открыть")</f>
        <v>открыть</v>
      </c>
    </row>
    <row r="1245">
      <c r="A1245" t="inlineStr">
        <is>
          <t xml:space="preserve">Мужской</t>
        </is>
      </c>
      <c r="B1245" t="inlineStr">
        <is>
          <t xml:space="preserve">Худи</t>
        </is>
      </c>
      <c r="C1245" t="inlineStr">
        <is>
          <t xml:space="preserve">Худи с капюшоном и карманом хлопок без начеса</t>
        </is>
      </c>
      <c r="D1245" t="inlineStr">
        <is>
          <t xml:space="preserve">HO32M03Коричневый</t>
        </is>
      </c>
      <c r="E1245" t="inlineStr">
        <is>
          <t xml:space="preserve">коричневый</t>
        </is>
      </c>
      <c r="F1245" t="inlineStr">
        <is>
          <t xml:space="preserve">46/170</t>
        </is>
      </c>
      <c r="G1245">
        <v>1</v>
      </c>
      <c r="H1245" s="2">
        <v>36.0</v>
      </c>
      <c r="I1245" t="inlineStr">
        <is>
          <t xml:space="preserve">полиэстер 50% акрил 20% полиамид 19% шерсть 5%</t>
        </is>
      </c>
      <c r="J1245"/>
      <c r="K1245" t="inlineStr">
        <is>
          <t xml:space="preserve">Бангладеш</t>
        </is>
      </c>
      <c r="L1245" t="inlineStr">
        <is>
          <t xml:space="preserve">6110309100</t>
        </is>
      </c>
      <c r="M1245" t="inlineStr">
        <is>
          <t xml:space="preserve">Декларация № ЕАЭС № BY/112 11.01. ТР017 122.01 08246, до 19.04.2028</t>
        </is>
      </c>
      <c r="N1245"/>
      <c r="O1245"/>
      <c r="P1245" t="inlineStr">
        <is>
          <t xml:space="preserve">2026620752103</t>
        </is>
      </c>
      <c r="Q1245" s="3" t="str">
        <f>HYPERLINK("https://modify.by/img/171131783/1.webp","фото")</f>
        <v>фото</v>
      </c>
      <c r="R1245" s="3" t="str">
        <f>HYPERLINK("https://modify.by/catalog/hudi/171131783/?utm_source=price&amp;utm_medium=xlsx","открыть")</f>
        <v>открыть</v>
      </c>
    </row>
    <row r="1246">
      <c r="A1246" t="inlineStr">
        <is>
          <t xml:space="preserve">Мужской</t>
        </is>
      </c>
      <c r="B1246" t="inlineStr">
        <is>
          <t xml:space="preserve">Худи</t>
        </is>
      </c>
      <c r="C1246" t="inlineStr">
        <is>
          <t xml:space="preserve">Худи с капюшоном карман-кенгуру</t>
        </is>
      </c>
      <c r="D1246" t="inlineStr">
        <is>
          <t xml:space="preserve">HO32M029светло-сиреневый</t>
        </is>
      </c>
      <c r="E1246" t="inlineStr">
        <is>
          <t xml:space="preserve">светло-сиреневый</t>
        </is>
      </c>
      <c r="F1246" t="inlineStr">
        <is>
          <t xml:space="preserve">48</t>
        </is>
      </c>
      <c r="G1246">
        <v>1</v>
      </c>
      <c r="H1246" s="2">
        <v>38.0</v>
      </c>
      <c r="I1246" t="inlineStr">
        <is>
          <t xml:space="preserve">хлопок 100%</t>
        </is>
      </c>
      <c r="J1246"/>
      <c r="K1246" t="inlineStr">
        <is>
          <t xml:space="preserve">Бангладеш</t>
        </is>
      </c>
      <c r="L1246" t="inlineStr">
        <is>
          <t xml:space="preserve">6110209100</t>
        </is>
      </c>
      <c r="M1246" t="inlineStr">
        <is>
          <t xml:space="preserve">Декларация № ЕАЭС № BY/112 11.01. ТР017 122.01 08246, до 19.04.2028</t>
        </is>
      </c>
      <c r="N1246" t="inlineStr">
        <is>
          <t xml:space="preserve">27 × 30 × 3</t>
        </is>
      </c>
      <c r="O1246" t="inlineStr">
        <is>
          <t xml:space="preserve">0,44</t>
        </is>
      </c>
      <c r="P1246" t="inlineStr">
        <is>
          <t xml:space="preserve">2038096190761</t>
        </is>
      </c>
      <c r="Q1246" s="3" t="str">
        <f>HYPERLINK("https://modify.by/img/195903077/1.webp","фото")</f>
        <v>фото</v>
      </c>
      <c r="R1246" s="3" t="str">
        <f>HYPERLINK("https://modify.by/catalog/hudi/195903077/?utm_source=price&amp;utm_medium=xlsx","открыть")</f>
        <v>открыть</v>
      </c>
    </row>
    <row r="1247">
      <c r="A1247" t="inlineStr">
        <is>
          <t xml:space="preserve">Мужской</t>
        </is>
      </c>
      <c r="B1247" t="inlineStr">
        <is>
          <t xml:space="preserve">Худи</t>
        </is>
      </c>
      <c r="C1247" t="inlineStr">
        <is>
          <t xml:space="preserve">Худи с капюшоном карман-кенгуру</t>
        </is>
      </c>
      <c r="D1247" t="inlineStr">
        <is>
          <t xml:space="preserve">HO32M029светло-сиреневый</t>
        </is>
      </c>
      <c r="E1247" t="inlineStr">
        <is>
          <t xml:space="preserve">светло-сиреневый</t>
        </is>
      </c>
      <c r="F1247" t="inlineStr">
        <is>
          <t xml:space="preserve">48</t>
        </is>
      </c>
      <c r="G1247">
        <v>1</v>
      </c>
      <c r="H1247" s="2">
        <v>38.0</v>
      </c>
      <c r="I1247" t="inlineStr">
        <is>
          <t xml:space="preserve">хлопок 100%</t>
        </is>
      </c>
      <c r="J1247"/>
      <c r="K1247" t="inlineStr">
        <is>
          <t xml:space="preserve">Бангладеш</t>
        </is>
      </c>
      <c r="L1247" t="inlineStr">
        <is>
          <t xml:space="preserve">6110209100</t>
        </is>
      </c>
      <c r="M1247" t="inlineStr">
        <is>
          <t xml:space="preserve">Декларация № ЕАЭС № BY/112 11.01. ТР017 122.01 08246, до 19.04.2028</t>
        </is>
      </c>
      <c r="N1247" t="inlineStr">
        <is>
          <t xml:space="preserve">27 × 30 × 3</t>
        </is>
      </c>
      <c r="O1247" t="inlineStr">
        <is>
          <t xml:space="preserve">0,44</t>
        </is>
      </c>
      <c r="P1247" t="inlineStr">
        <is>
          <t xml:space="preserve">4816148127327</t>
        </is>
      </c>
      <c r="Q1247" s="3" t="str">
        <f>HYPERLINK("https://modify.by/img/195903077/1.webp","фото")</f>
        <v>фото</v>
      </c>
      <c r="R1247" s="3" t="str">
        <f>HYPERLINK("https://modify.by/catalog/hudi/195903077/?utm_source=price&amp;utm_medium=xlsx","открыть")</f>
        <v>открыть</v>
      </c>
    </row>
    <row r="1248">
      <c r="A1248" t="inlineStr">
        <is>
          <t xml:space="preserve">Мужской</t>
        </is>
      </c>
      <c r="B1248" t="inlineStr">
        <is>
          <t xml:space="preserve">Худи</t>
        </is>
      </c>
      <c r="C1248" t="inlineStr">
        <is>
          <t xml:space="preserve">Худи с капюшоном хлопок без начеса</t>
        </is>
      </c>
      <c r="D1248" t="inlineStr">
        <is>
          <t xml:space="preserve">HO32M02Сиреневый</t>
        </is>
      </c>
      <c r="E1248" t="inlineStr">
        <is>
          <t xml:space="preserve">сиреневый</t>
        </is>
      </c>
      <c r="F1248" t="inlineStr">
        <is>
          <t xml:space="preserve">48</t>
        </is>
      </c>
      <c r="G1248">
        <v>28</v>
      </c>
      <c r="H1248" s="2">
        <v>38.0</v>
      </c>
      <c r="I1248" t="inlineStr">
        <is>
          <t xml:space="preserve">хлопок 100%</t>
        </is>
      </c>
      <c r="J1248"/>
      <c r="K1248" t="inlineStr">
        <is>
          <t xml:space="preserve">Бангладеш</t>
        </is>
      </c>
      <c r="L1248" t="inlineStr">
        <is>
          <t xml:space="preserve">6110209100</t>
        </is>
      </c>
      <c r="M1248" t="inlineStr">
        <is>
          <t xml:space="preserve">Декларация № ЕАЭС № BY/112 11.01. ТР017 122.01 08246, до 19.04.2028</t>
        </is>
      </c>
      <c r="N1248" t="inlineStr">
        <is>
          <t xml:space="preserve">25 × 31 × 3</t>
        </is>
      </c>
      <c r="O1248" t="inlineStr">
        <is>
          <t xml:space="preserve">0,4</t>
        </is>
      </c>
      <c r="P1248" t="inlineStr">
        <is>
          <t xml:space="preserve">2026620745822</t>
        </is>
      </c>
      <c r="Q1248" s="3" t="str">
        <f>HYPERLINK("https://modify.by/img/171150049/1.webp","фото")</f>
        <v>фото</v>
      </c>
      <c r="R1248" s="3" t="str">
        <f>HYPERLINK("https://modify.by/catalog/hudi/171150049/?utm_source=price&amp;utm_medium=xlsx","открыть")</f>
        <v>открыть</v>
      </c>
    </row>
    <row r="1249">
      <c r="A1249" t="inlineStr">
        <is>
          <t xml:space="preserve">Мужской</t>
        </is>
      </c>
      <c r="B1249" t="inlineStr">
        <is>
          <t xml:space="preserve">Шлепанцы</t>
        </is>
      </c>
      <c r="C1249" t="inlineStr">
        <is>
          <t xml:space="preserve">Шлепанцы резиновые летние</t>
        </is>
      </c>
      <c r="D1249" t="inlineStr">
        <is>
          <t xml:space="preserve">T3SL52M09голубой, белый</t>
        </is>
      </c>
      <c r="E1249" t="inlineStr">
        <is>
          <t xml:space="preserve">голубой, белый, синий</t>
        </is>
      </c>
      <c r="F1249" t="inlineStr">
        <is>
          <t xml:space="preserve">39-40</t>
        </is>
      </c>
      <c r="G1249">
        <v>1</v>
      </c>
      <c r="H1249" s="2">
        <v>22.0</v>
      </c>
      <c r="I1249" t="inlineStr">
        <is>
          <t xml:space="preserve">подошва 100% ЭВА, ПВХ</t>
        </is>
      </c>
      <c r="J1249" t="inlineStr">
        <is>
          <t xml:space="preserve">круглогодичный</t>
        </is>
      </c>
      <c r="K1249" t="inlineStr">
        <is>
          <t xml:space="preserve">Китай</t>
        </is>
      </c>
      <c r="L1249" t="inlineStr">
        <is>
          <t xml:space="preserve">6402999600</t>
        </is>
      </c>
      <c r="M1249" t="inlineStr">
        <is>
          <t xml:space="preserve">по запросу</t>
        </is>
      </c>
      <c r="N1249" t="inlineStr">
        <is>
          <t xml:space="preserve">30 × 12 × 5</t>
        </is>
      </c>
      <c r="O1249" t="inlineStr">
        <is>
          <t xml:space="preserve">0,28</t>
        </is>
      </c>
      <c r="P1249" t="inlineStr">
        <is>
          <t xml:space="preserve">4816148163028</t>
        </is>
      </c>
      <c r="Q1249" s="3" t="str">
        <f>HYPERLINK("https://modify.by/img/367821636/1.webp","фото")</f>
        <v>фото</v>
      </c>
      <c r="R1249" s="3" t="str">
        <f>HYPERLINK("https://modify.by/catalog/shlepancy/367821636/?utm_source=price&amp;utm_medium=xlsx","открыть")</f>
        <v>открыть</v>
      </c>
    </row>
    <row r="1250">
      <c r="A1250" t="inlineStr">
        <is>
          <t xml:space="preserve">Мужской</t>
        </is>
      </c>
      <c r="B1250" t="inlineStr">
        <is>
          <t xml:space="preserve">Шорты</t>
        </is>
      </c>
      <c r="C1250" t="inlineStr">
        <is>
          <t xml:space="preserve">Брючные шорты летние хлопок бермуды</t>
        </is>
      </c>
      <c r="D1250" t="inlineStr">
        <is>
          <t xml:space="preserve">BE22M06Фиолетовый</t>
        </is>
      </c>
      <c r="E1250" t="inlineStr">
        <is>
          <t xml:space="preserve">фиолетовый</t>
        </is>
      </c>
      <c r="F1250" t="inlineStr">
        <is>
          <t xml:space="preserve">52</t>
        </is>
      </c>
      <c r="G1250">
        <v>1</v>
      </c>
      <c r="H1250" s="2">
        <v>28.0</v>
      </c>
      <c r="I1250" t="inlineStr">
        <is>
          <t xml:space="preserve">Хлопок 98% Эластан 2%</t>
        </is>
      </c>
      <c r="J1250"/>
      <c r="K1250" t="inlineStr">
        <is>
          <t xml:space="preserve">Бангладеш</t>
        </is>
      </c>
      <c r="L1250" t="inlineStr">
        <is>
          <t xml:space="preserve">6203429000</t>
        </is>
      </c>
      <c r="M1250" t="inlineStr">
        <is>
          <t xml:space="preserve">по запросу</t>
        </is>
      </c>
      <c r="N1250" t="inlineStr">
        <is>
          <t xml:space="preserve">30 × 20 × 2</t>
        </is>
      </c>
      <c r="O1250" t="inlineStr">
        <is>
          <t xml:space="preserve">0,25</t>
        </is>
      </c>
      <c r="P1250" t="inlineStr">
        <is>
          <t xml:space="preserve">2016957071244</t>
        </is>
      </c>
      <c r="Q1250" s="3" t="str">
        <f>HYPERLINK("https://modify.by/img/91862164/1.webp","фото")</f>
        <v>фото</v>
      </c>
      <c r="R1250" s="3" t="str">
        <f>HYPERLINK("https://modify.by/catalog/shorty/91862164/?utm_source=price&amp;utm_medium=xlsx","открыть")</f>
        <v>открыть</v>
      </c>
    </row>
    <row r="1251">
      <c r="A1251" t="inlineStr">
        <is>
          <t xml:space="preserve">Мужской</t>
        </is>
      </c>
      <c r="B1251" t="inlineStr">
        <is>
          <t xml:space="preserve">Шорты</t>
        </is>
      </c>
      <c r="C1251" t="inlineStr">
        <is>
          <t xml:space="preserve">Карго на резинке большие размеры - до 68</t>
        </is>
      </c>
      <c r="D1251" t="inlineStr">
        <is>
          <t xml:space="preserve">BE32M122песочный</t>
        </is>
      </c>
      <c r="E1251" t="inlineStr">
        <is>
          <t xml:space="preserve">песочный</t>
        </is>
      </c>
      <c r="F1251" t="inlineStr">
        <is>
          <t xml:space="preserve">50</t>
        </is>
      </c>
      <c r="G1251">
        <v>1</v>
      </c>
      <c r="H1251" s="2">
        <v>43.0</v>
      </c>
      <c r="I1251" t="inlineStr">
        <is>
          <t xml:space="preserve">100% хлопок</t>
        </is>
      </c>
      <c r="J1251"/>
      <c r="K1251" t="inlineStr">
        <is>
          <t xml:space="preserve">Бангладеш</t>
        </is>
      </c>
      <c r="L1251" t="inlineStr">
        <is>
          <t xml:space="preserve">6203429000</t>
        </is>
      </c>
      <c r="M1251" t="inlineStr">
        <is>
          <t xml:space="preserve">по запросу</t>
        </is>
      </c>
      <c r="N1251" t="inlineStr">
        <is>
          <t xml:space="preserve">35 × 28 × 3</t>
        </is>
      </c>
      <c r="O1251" t="inlineStr">
        <is>
          <t xml:space="preserve">0,35</t>
        </is>
      </c>
      <c r="P1251" t="inlineStr">
        <is>
          <t xml:space="preserve">2038096201870</t>
        </is>
      </c>
      <c r="Q1251" s="3" t="str">
        <f>HYPERLINK("https://modify.by/img/212968564/1.webp","фото")</f>
        <v>фото</v>
      </c>
      <c r="R1251" s="3" t="str">
        <f>HYPERLINK("https://modify.by/catalog/shorty/212968564/?utm_source=price&amp;utm_medium=xlsx","открыть")</f>
        <v>открыть</v>
      </c>
    </row>
    <row r="1252">
      <c r="A1252" t="inlineStr">
        <is>
          <t xml:space="preserve">Мужской</t>
        </is>
      </c>
      <c r="B1252" t="inlineStr">
        <is>
          <t xml:space="preserve">Шорты</t>
        </is>
      </c>
      <c r="C1252" t="inlineStr">
        <is>
          <t xml:space="preserve">Модель 12130196</t>
        </is>
      </c>
      <c r="D1252" t="inlineStr">
        <is>
          <t xml:space="preserve">BS02M2Синий,голубой</t>
        </is>
      </c>
      <c r="E1252" t="inlineStr">
        <is>
          <t xml:space="preserve">синий</t>
        </is>
      </c>
      <c r="F1252" t="inlineStr">
        <is>
          <t xml:space="preserve">48</t>
        </is>
      </c>
      <c r="G1252">
        <v>1</v>
      </c>
      <c r="H1252" s="2">
        <v>17.0</v>
      </c>
      <c r="I1252" t="inlineStr">
        <is>
          <t xml:space="preserve">полиэстер 100%</t>
        </is>
      </c>
      <c r="J1252"/>
      <c r="K1252" t="inlineStr">
        <is>
          <t xml:space="preserve">Бангладеш</t>
        </is>
      </c>
      <c r="L1252" t="inlineStr">
        <is>
          <t xml:space="preserve">6204639000</t>
        </is>
      </c>
      <c r="M1252" t="inlineStr">
        <is>
          <t xml:space="preserve">по запросу</t>
        </is>
      </c>
      <c r="N1252"/>
      <c r="O1252"/>
      <c r="P1252" t="inlineStr">
        <is>
          <t xml:space="preserve">8595633653959</t>
        </is>
      </c>
      <c r="Q1252" s="3" t="str">
        <f>HYPERLINK("https://modify.by/img/12130196/1.webp","фото")</f>
        <v>фото</v>
      </c>
      <c r="R1252" s="3" t="str">
        <f>HYPERLINK("https://modify.by/catalog/shorty/12130196/?utm_source=price&amp;utm_medium=xlsx","открыть")</f>
        <v>открыть</v>
      </c>
    </row>
    <row r="1253">
      <c r="A1253" t="inlineStr">
        <is>
          <t xml:space="preserve">Мужской</t>
        </is>
      </c>
      <c r="B1253" t="inlineStr">
        <is>
          <t xml:space="preserve">Шорты</t>
        </is>
      </c>
      <c r="C1253" t="inlineStr">
        <is>
          <t xml:space="preserve">Модель 12130200</t>
        </is>
      </c>
      <c r="D1253" t="inlineStr">
        <is>
          <t xml:space="preserve">BS02M2Черный,голубой</t>
        </is>
      </c>
      <c r="E1253" t="inlineStr">
        <is>
          <t xml:space="preserve">черный</t>
        </is>
      </c>
      <c r="F1253" t="inlineStr">
        <is>
          <t xml:space="preserve">48</t>
        </is>
      </c>
      <c r="G1253">
        <v>1</v>
      </c>
      <c r="H1253" s="2">
        <v>17.0</v>
      </c>
      <c r="I1253" t="inlineStr">
        <is>
          <t xml:space="preserve">полиэстер 100%</t>
        </is>
      </c>
      <c r="J1253"/>
      <c r="K1253" t="inlineStr">
        <is>
          <t xml:space="preserve">Бангладеш</t>
        </is>
      </c>
      <c r="L1253" t="inlineStr">
        <is>
          <t xml:space="preserve">6204639000</t>
        </is>
      </c>
      <c r="M1253" t="inlineStr">
        <is>
          <t xml:space="preserve">по запросу</t>
        </is>
      </c>
      <c r="N1253"/>
      <c r="O1253"/>
      <c r="P1253" t="inlineStr">
        <is>
          <t xml:space="preserve">8595633653928</t>
        </is>
      </c>
      <c r="Q1253" s="3" t="str">
        <f>HYPERLINK("https://modify.by/img/12130200/1.webp","фото")</f>
        <v>фото</v>
      </c>
      <c r="R1253" s="3" t="str">
        <f>HYPERLINK("https://modify.by/catalog/shorty/12130200/?utm_source=price&amp;utm_medium=xlsx","открыть")</f>
        <v>открыть</v>
      </c>
    </row>
    <row r="1254">
      <c r="A1254" t="inlineStr">
        <is>
          <t xml:space="preserve">Мужской</t>
        </is>
      </c>
      <c r="B1254" t="inlineStr">
        <is>
          <t xml:space="preserve">Шорты</t>
        </is>
      </c>
      <c r="C1254" t="inlineStr">
        <is>
          <t xml:space="preserve">Модель 12130206</t>
        </is>
      </c>
      <c r="D1254" t="inlineStr">
        <is>
          <t xml:space="preserve">BS02M4Морскаяволна</t>
        </is>
      </c>
      <c r="E1254" t="inlineStr">
        <is>
          <t xml:space="preserve">морская волна</t>
        </is>
      </c>
      <c r="F1254" t="inlineStr">
        <is>
          <t xml:space="preserve">48-50</t>
        </is>
      </c>
      <c r="G1254">
        <v>1</v>
      </c>
      <c r="H1254" s="2">
        <v>18.0</v>
      </c>
      <c r="I1254" t="inlineStr">
        <is>
          <t xml:space="preserve">полиэстер 100%</t>
        </is>
      </c>
      <c r="J1254"/>
      <c r="K1254" t="inlineStr">
        <is>
          <t xml:space="preserve">Бангладеш</t>
        </is>
      </c>
      <c r="L1254" t="inlineStr">
        <is>
          <t xml:space="preserve">6204639000</t>
        </is>
      </c>
      <c r="M1254" t="inlineStr">
        <is>
          <t xml:space="preserve">по запросу</t>
        </is>
      </c>
      <c r="N1254"/>
      <c r="O1254"/>
      <c r="P1254" t="inlineStr">
        <is>
          <t xml:space="preserve">8595633653805</t>
        </is>
      </c>
      <c r="Q1254" s="3" t="str">
        <f>HYPERLINK("https://modify.by/img/12130206/1.webp","фото")</f>
        <v>фото</v>
      </c>
      <c r="R1254" s="3" t="str">
        <f>HYPERLINK("https://modify.by/catalog/shorty/12130206/?utm_source=price&amp;utm_medium=xlsx","открыть")</f>
        <v>открыть</v>
      </c>
    </row>
    <row r="1255">
      <c r="A1255" t="inlineStr">
        <is>
          <t xml:space="preserve">Мужской</t>
        </is>
      </c>
      <c r="B1255" t="inlineStr">
        <is>
          <t xml:space="preserve">Шорты</t>
        </is>
      </c>
      <c r="C1255" t="inlineStr">
        <is>
          <t xml:space="preserve">Шорты бермуды классические</t>
        </is>
      </c>
      <c r="D1255" t="inlineStr">
        <is>
          <t xml:space="preserve">BE51M01песочный</t>
        </is>
      </c>
      <c r="E1255" t="inlineStr">
        <is>
          <t xml:space="preserve">песочный, бежевый</t>
        </is>
      </c>
      <c r="F1255" t="inlineStr">
        <is>
          <t xml:space="preserve">44</t>
        </is>
      </c>
      <c r="G1255">
        <v>18</v>
      </c>
      <c r="H1255" s="2">
        <v>35.0</v>
      </c>
      <c r="I1255" t="inlineStr">
        <is>
          <t xml:space="preserve">хлопок 100%</t>
        </is>
      </c>
      <c r="J1255" t="inlineStr">
        <is>
          <t xml:space="preserve">Лето</t>
        </is>
      </c>
      <c r="K1255" t="inlineStr">
        <is>
          <t xml:space="preserve">Бангладеш</t>
        </is>
      </c>
      <c r="L1255" t="inlineStr">
        <is>
          <t xml:space="preserve">6203429000</t>
        </is>
      </c>
      <c r="M1255" t="inlineStr">
        <is>
          <t xml:space="preserve">Декларация № ЕАЭС № BY/112 11.01. ТР017 122.01 08246, до 19.04.2028</t>
        </is>
      </c>
      <c r="N1255" t="inlineStr">
        <is>
          <t xml:space="preserve">2 × 30 × 35</t>
        </is>
      </c>
      <c r="O1255" t="inlineStr">
        <is>
          <t xml:space="preserve">0,35</t>
        </is>
      </c>
      <c r="P1255" t="inlineStr">
        <is>
          <t xml:space="preserve">4816148163790</t>
        </is>
      </c>
      <c r="Q1255" s="3" t="str">
        <f>HYPERLINK("https://modify.by/img/391713547/1.webp","фото")</f>
        <v>фото</v>
      </c>
      <c r="R1255" s="3" t="str">
        <f>HYPERLINK("https://modify.by/catalog/shorty/391713547/?utm_source=price&amp;utm_medium=xlsx","открыть")</f>
        <v>открыть</v>
      </c>
    </row>
    <row r="1256">
      <c r="A1256" t="inlineStr">
        <is>
          <t xml:space="preserve">Мужской</t>
        </is>
      </c>
      <c r="B1256" t="inlineStr">
        <is>
          <t xml:space="preserve">Шорты</t>
        </is>
      </c>
      <c r="C1256" t="inlineStr">
        <is>
          <t xml:space="preserve">Шорты бермуды классические</t>
        </is>
      </c>
      <c r="D1256" t="inlineStr">
        <is>
          <t xml:space="preserve">BE51M01песочный</t>
        </is>
      </c>
      <c r="E1256" t="inlineStr">
        <is>
          <t xml:space="preserve">песочный, бежевый</t>
        </is>
      </c>
      <c r="F1256" t="inlineStr">
        <is>
          <t xml:space="preserve">46</t>
        </is>
      </c>
      <c r="G1256">
        <v>42</v>
      </c>
      <c r="H1256" s="2">
        <v>35.0</v>
      </c>
      <c r="I1256" t="inlineStr">
        <is>
          <t xml:space="preserve">хлопок 100%</t>
        </is>
      </c>
      <c r="J1256" t="inlineStr">
        <is>
          <t xml:space="preserve">Лето</t>
        </is>
      </c>
      <c r="K1256" t="inlineStr">
        <is>
          <t xml:space="preserve">Бангладеш</t>
        </is>
      </c>
      <c r="L1256" t="inlineStr">
        <is>
          <t xml:space="preserve">6203429000</t>
        </is>
      </c>
      <c r="M1256" t="inlineStr">
        <is>
          <t xml:space="preserve">Декларация № ЕАЭС № BY/112 11.01. ТР017 122.01 08246, до 19.04.2028</t>
        </is>
      </c>
      <c r="N1256" t="inlineStr">
        <is>
          <t xml:space="preserve">2 × 30 × 35</t>
        </is>
      </c>
      <c r="O1256" t="inlineStr">
        <is>
          <t xml:space="preserve">0,35</t>
        </is>
      </c>
      <c r="P1256" t="inlineStr">
        <is>
          <t xml:space="preserve">4816148163806</t>
        </is>
      </c>
      <c r="Q1256" s="3" t="str">
        <f>HYPERLINK("https://modify.by/img/391713547/1.webp","фото")</f>
        <v>фото</v>
      </c>
      <c r="R1256" s="3" t="str">
        <f>HYPERLINK("https://modify.by/catalog/shorty/391713547/?utm_source=price&amp;utm_medium=xlsx","открыть")</f>
        <v>открыть</v>
      </c>
    </row>
    <row r="1257">
      <c r="A1257" t="inlineStr">
        <is>
          <t xml:space="preserve">Мужской</t>
        </is>
      </c>
      <c r="B1257" t="inlineStr">
        <is>
          <t xml:space="preserve">Шорты</t>
        </is>
      </c>
      <c r="C1257" t="inlineStr">
        <is>
          <t xml:space="preserve">Шорты бермуды классические</t>
        </is>
      </c>
      <c r="D1257" t="inlineStr">
        <is>
          <t xml:space="preserve">BE51M01песочный</t>
        </is>
      </c>
      <c r="E1257" t="inlineStr">
        <is>
          <t xml:space="preserve">песочный, бежевый</t>
        </is>
      </c>
      <c r="F1257" t="inlineStr">
        <is>
          <t xml:space="preserve">48</t>
        </is>
      </c>
      <c r="G1257">
        <v>18</v>
      </c>
      <c r="H1257" s="2">
        <v>35.0</v>
      </c>
      <c r="I1257" t="inlineStr">
        <is>
          <t xml:space="preserve">хлопок 100%</t>
        </is>
      </c>
      <c r="J1257" t="inlineStr">
        <is>
          <t xml:space="preserve">Лето</t>
        </is>
      </c>
      <c r="K1257" t="inlineStr">
        <is>
          <t xml:space="preserve">Бангладеш</t>
        </is>
      </c>
      <c r="L1257" t="inlineStr">
        <is>
          <t xml:space="preserve">6203429000</t>
        </is>
      </c>
      <c r="M1257" t="inlineStr">
        <is>
          <t xml:space="preserve">Декларация № ЕАЭС № BY/112 11.01. ТР017 122.01 08246, до 19.04.2028</t>
        </is>
      </c>
      <c r="N1257" t="inlineStr">
        <is>
          <t xml:space="preserve">2 × 30 × 35</t>
        </is>
      </c>
      <c r="O1257" t="inlineStr">
        <is>
          <t xml:space="preserve">0,35</t>
        </is>
      </c>
      <c r="P1257" t="inlineStr">
        <is>
          <t xml:space="preserve">4816148163813</t>
        </is>
      </c>
      <c r="Q1257" s="3" t="str">
        <f>HYPERLINK("https://modify.by/img/391713547/1.webp","фото")</f>
        <v>фото</v>
      </c>
      <c r="R1257" s="3" t="str">
        <f>HYPERLINK("https://modify.by/catalog/shorty/391713547/?utm_source=price&amp;utm_medium=xlsx","открыть")</f>
        <v>открыть</v>
      </c>
    </row>
    <row r="1258">
      <c r="A1258" t="inlineStr">
        <is>
          <t xml:space="preserve">Мужской</t>
        </is>
      </c>
      <c r="B1258" t="inlineStr">
        <is>
          <t xml:space="preserve">Шорты</t>
        </is>
      </c>
      <c r="C1258" t="inlineStr">
        <is>
          <t xml:space="preserve">Шорты бермуды классические</t>
        </is>
      </c>
      <c r="D1258" t="inlineStr">
        <is>
          <t xml:space="preserve">BE51M01песочный</t>
        </is>
      </c>
      <c r="E1258" t="inlineStr">
        <is>
          <t xml:space="preserve">песочный, бежевый</t>
        </is>
      </c>
      <c r="F1258" t="inlineStr">
        <is>
          <t xml:space="preserve">50</t>
        </is>
      </c>
      <c r="G1258">
        <v>4</v>
      </c>
      <c r="H1258" s="2">
        <v>35.0</v>
      </c>
      <c r="I1258" t="inlineStr">
        <is>
          <t xml:space="preserve">хлопок 100%</t>
        </is>
      </c>
      <c r="J1258" t="inlineStr">
        <is>
          <t xml:space="preserve">Лето</t>
        </is>
      </c>
      <c r="K1258" t="inlineStr">
        <is>
          <t xml:space="preserve">Бангладеш</t>
        </is>
      </c>
      <c r="L1258" t="inlineStr">
        <is>
          <t xml:space="preserve">6203429000</t>
        </is>
      </c>
      <c r="M1258" t="inlineStr">
        <is>
          <t xml:space="preserve">Декларация № ЕАЭС № BY/112 11.01. ТР017 122.01 08246, до 19.04.2028</t>
        </is>
      </c>
      <c r="N1258" t="inlineStr">
        <is>
          <t xml:space="preserve">2 × 30 × 35</t>
        </is>
      </c>
      <c r="O1258" t="inlineStr">
        <is>
          <t xml:space="preserve">0,35</t>
        </is>
      </c>
      <c r="P1258" t="inlineStr">
        <is>
          <t xml:space="preserve">4816148163820</t>
        </is>
      </c>
      <c r="Q1258" s="3" t="str">
        <f>HYPERLINK("https://modify.by/img/391713547/1.webp","фото")</f>
        <v>фото</v>
      </c>
      <c r="R1258" s="3" t="str">
        <f>HYPERLINK("https://modify.by/catalog/shorty/391713547/?utm_source=price&amp;utm_medium=xlsx","открыть")</f>
        <v>открыть</v>
      </c>
    </row>
    <row r="1259">
      <c r="A1259" t="inlineStr">
        <is>
          <t xml:space="preserve">Мужской</t>
        </is>
      </c>
      <c r="B1259" t="inlineStr">
        <is>
          <t xml:space="preserve">Шорты</t>
        </is>
      </c>
      <c r="C1259" t="inlineStr">
        <is>
          <t xml:space="preserve">Шорты бермуды классические хлопковые премиум качества</t>
        </is>
      </c>
      <c r="D1259" t="inlineStr">
        <is>
          <t xml:space="preserve">BE51M01Черный</t>
        </is>
      </c>
      <c r="E1259" t="inlineStr">
        <is>
          <t xml:space="preserve">черный</t>
        </is>
      </c>
      <c r="F1259" t="inlineStr">
        <is>
          <t xml:space="preserve">44</t>
        </is>
      </c>
      <c r="G1259">
        <v>22</v>
      </c>
      <c r="H1259" s="2">
        <v>35.0</v>
      </c>
      <c r="I1259" t="inlineStr">
        <is>
          <t xml:space="preserve">хлопок 100%</t>
        </is>
      </c>
      <c r="J1259" t="inlineStr">
        <is>
          <t xml:space="preserve">Лето</t>
        </is>
      </c>
      <c r="K1259" t="inlineStr">
        <is>
          <t xml:space="preserve">Бангладеш</t>
        </is>
      </c>
      <c r="L1259" t="inlineStr">
        <is>
          <t xml:space="preserve">6203429000</t>
        </is>
      </c>
      <c r="M1259" t="inlineStr">
        <is>
          <t xml:space="preserve">Декларация № ЕАЭС № BY/112 11.01. ТР017 122.01 08246, до 19.04.2028</t>
        </is>
      </c>
      <c r="N1259" t="inlineStr">
        <is>
          <t xml:space="preserve">2 × 30 × 35</t>
        </is>
      </c>
      <c r="O1259" t="inlineStr">
        <is>
          <t xml:space="preserve">0,35</t>
        </is>
      </c>
      <c r="P1259" t="inlineStr">
        <is>
          <t xml:space="preserve">4816148163738</t>
        </is>
      </c>
      <c r="Q1259" s="3" t="str">
        <f>HYPERLINK("https://modify.by/img/91862163/1.webp","фото")</f>
        <v>фото</v>
      </c>
      <c r="R1259" s="3" t="str">
        <f>HYPERLINK("https://modify.by/catalog/shorty/91862163/?utm_source=price&amp;utm_medium=xlsx","открыть")</f>
        <v>открыть</v>
      </c>
    </row>
    <row r="1260">
      <c r="A1260" t="inlineStr">
        <is>
          <t xml:space="preserve">Мужской</t>
        </is>
      </c>
      <c r="B1260" t="inlineStr">
        <is>
          <t xml:space="preserve">Шорты</t>
        </is>
      </c>
      <c r="C1260" t="inlineStr">
        <is>
          <t xml:space="preserve">Шорты бермуды классические хлопковые премиум качества</t>
        </is>
      </c>
      <c r="D1260" t="inlineStr">
        <is>
          <t xml:space="preserve">BE51M01Черный</t>
        </is>
      </c>
      <c r="E1260" t="inlineStr">
        <is>
          <t xml:space="preserve">черный</t>
        </is>
      </c>
      <c r="F1260" t="inlineStr">
        <is>
          <t xml:space="preserve">46</t>
        </is>
      </c>
      <c r="G1260">
        <v>44</v>
      </c>
      <c r="H1260" s="2">
        <v>35.0</v>
      </c>
      <c r="I1260" t="inlineStr">
        <is>
          <t xml:space="preserve">хлопок 100%</t>
        </is>
      </c>
      <c r="J1260" t="inlineStr">
        <is>
          <t xml:space="preserve">Лето</t>
        </is>
      </c>
      <c r="K1260" t="inlineStr">
        <is>
          <t xml:space="preserve">Бангладеш</t>
        </is>
      </c>
      <c r="L1260" t="inlineStr">
        <is>
          <t xml:space="preserve">6203429000</t>
        </is>
      </c>
      <c r="M1260" t="inlineStr">
        <is>
          <t xml:space="preserve">Декларация № ЕАЭС № BY/112 11.01. ТР017 122.01 08246, до 19.04.2028</t>
        </is>
      </c>
      <c r="N1260" t="inlineStr">
        <is>
          <t xml:space="preserve">2 × 30 × 35</t>
        </is>
      </c>
      <c r="O1260" t="inlineStr">
        <is>
          <t xml:space="preserve">0,35</t>
        </is>
      </c>
      <c r="P1260" t="inlineStr">
        <is>
          <t xml:space="preserve">4816148163745</t>
        </is>
      </c>
      <c r="Q1260" s="3" t="str">
        <f>HYPERLINK("https://modify.by/img/91862163/1.webp","фото")</f>
        <v>фото</v>
      </c>
      <c r="R1260" s="3" t="str">
        <f>HYPERLINK("https://modify.by/catalog/shorty/91862163/?utm_source=price&amp;utm_medium=xlsx","открыть")</f>
        <v>открыть</v>
      </c>
    </row>
    <row r="1261">
      <c r="A1261" t="inlineStr">
        <is>
          <t xml:space="preserve">Мужской</t>
        </is>
      </c>
      <c r="B1261" t="inlineStr">
        <is>
          <t xml:space="preserve">Шорты</t>
        </is>
      </c>
      <c r="C1261" t="inlineStr">
        <is>
          <t xml:space="preserve">Шорты бермуды классические хлопковые премиум качества</t>
        </is>
      </c>
      <c r="D1261" t="inlineStr">
        <is>
          <t xml:space="preserve">BE51M01Черный</t>
        </is>
      </c>
      <c r="E1261" t="inlineStr">
        <is>
          <t xml:space="preserve">черный</t>
        </is>
      </c>
      <c r="F1261" t="inlineStr">
        <is>
          <t xml:space="preserve">48</t>
        </is>
      </c>
      <c r="G1261">
        <v>35</v>
      </c>
      <c r="H1261" s="2">
        <v>35.0</v>
      </c>
      <c r="I1261" t="inlineStr">
        <is>
          <t xml:space="preserve">хлопок 100%</t>
        </is>
      </c>
      <c r="J1261" t="inlineStr">
        <is>
          <t xml:space="preserve">Лето</t>
        </is>
      </c>
      <c r="K1261" t="inlineStr">
        <is>
          <t xml:space="preserve">Бангладеш</t>
        </is>
      </c>
      <c r="L1261" t="inlineStr">
        <is>
          <t xml:space="preserve">6203429000</t>
        </is>
      </c>
      <c r="M1261" t="inlineStr">
        <is>
          <t xml:space="preserve">Декларация № ЕАЭС № BY/112 11.01. ТР017 122.01 08246, до 19.04.2028</t>
        </is>
      </c>
      <c r="N1261" t="inlineStr">
        <is>
          <t xml:space="preserve">2 × 30 × 35</t>
        </is>
      </c>
      <c r="O1261" t="inlineStr">
        <is>
          <t xml:space="preserve">0,35</t>
        </is>
      </c>
      <c r="P1261" t="inlineStr">
        <is>
          <t xml:space="preserve">4816148163752</t>
        </is>
      </c>
      <c r="Q1261" s="3" t="str">
        <f>HYPERLINK("https://modify.by/img/91862163/1.webp","фото")</f>
        <v>фото</v>
      </c>
      <c r="R1261" s="3" t="str">
        <f>HYPERLINK("https://modify.by/catalog/shorty/91862163/?utm_source=price&amp;utm_medium=xlsx","открыть")</f>
        <v>открыть</v>
      </c>
    </row>
    <row r="1262">
      <c r="A1262" t="inlineStr">
        <is>
          <t xml:space="preserve">Мужской</t>
        </is>
      </c>
      <c r="B1262" t="inlineStr">
        <is>
          <t xml:space="preserve">Шорты</t>
        </is>
      </c>
      <c r="C1262" t="inlineStr">
        <is>
          <t xml:space="preserve">Шорты бермуды классические хлопковые премиум качества</t>
        </is>
      </c>
      <c r="D1262" t="inlineStr">
        <is>
          <t xml:space="preserve">BE51M01Черный</t>
        </is>
      </c>
      <c r="E1262" t="inlineStr">
        <is>
          <t xml:space="preserve">черный</t>
        </is>
      </c>
      <c r="F1262" t="inlineStr">
        <is>
          <t xml:space="preserve">50</t>
        </is>
      </c>
      <c r="G1262">
        <v>6</v>
      </c>
      <c r="H1262" s="2">
        <v>35.0</v>
      </c>
      <c r="I1262" t="inlineStr">
        <is>
          <t xml:space="preserve">хлопок 100%</t>
        </is>
      </c>
      <c r="J1262" t="inlineStr">
        <is>
          <t xml:space="preserve">Лето</t>
        </is>
      </c>
      <c r="K1262" t="inlineStr">
        <is>
          <t xml:space="preserve">Бангладеш</t>
        </is>
      </c>
      <c r="L1262" t="inlineStr">
        <is>
          <t xml:space="preserve">6203429000</t>
        </is>
      </c>
      <c r="M1262" t="inlineStr">
        <is>
          <t xml:space="preserve">Декларация № ЕАЭС № BY/112 11.01. ТР017 122.01 08246, до 19.04.2028</t>
        </is>
      </c>
      <c r="N1262" t="inlineStr">
        <is>
          <t xml:space="preserve">2 × 30 × 35</t>
        </is>
      </c>
      <c r="O1262" t="inlineStr">
        <is>
          <t xml:space="preserve">0,35</t>
        </is>
      </c>
      <c r="P1262" t="inlineStr">
        <is>
          <t xml:space="preserve">4816148163769</t>
        </is>
      </c>
      <c r="Q1262" s="3" t="str">
        <f>HYPERLINK("https://modify.by/img/91862163/1.webp","фото")</f>
        <v>фото</v>
      </c>
      <c r="R1262" s="3" t="str">
        <f>HYPERLINK("https://modify.by/catalog/shorty/91862163/?utm_source=price&amp;utm_medium=xlsx","открыть")</f>
        <v>открыть</v>
      </c>
    </row>
    <row r="1263">
      <c r="A1263" t="inlineStr">
        <is>
          <t xml:space="preserve">Мужской</t>
        </is>
      </c>
      <c r="B1263" t="inlineStr">
        <is>
          <t xml:space="preserve">Шорты</t>
        </is>
      </c>
      <c r="C1263" t="inlineStr">
        <is>
          <t xml:space="preserve">Шорты бермуды классические хлопок экстра большие размеры</t>
        </is>
      </c>
      <c r="D1263" t="inlineStr">
        <is>
          <t xml:space="preserve">BE42M02синий</t>
        </is>
      </c>
      <c r="E1263" t="inlineStr">
        <is>
          <t xml:space="preserve">синий</t>
        </is>
      </c>
      <c r="F1263" t="inlineStr">
        <is>
          <t xml:space="preserve">60</t>
        </is>
      </c>
      <c r="G1263">
        <v>21</v>
      </c>
      <c r="H1263" s="2">
        <v>46.0</v>
      </c>
      <c r="I1263" t="inlineStr">
        <is>
          <t xml:space="preserve">Хлопок 97% Эластан 3%</t>
        </is>
      </c>
      <c r="J1263" t="inlineStr">
        <is>
          <t xml:space="preserve">лето</t>
        </is>
      </c>
      <c r="K1263" t="inlineStr">
        <is>
          <t xml:space="preserve">Бангладеш</t>
        </is>
      </c>
      <c r="L1263" t="inlineStr">
        <is>
          <t xml:space="preserve">6203429000</t>
        </is>
      </c>
      <c r="M1263" t="inlineStr">
        <is>
          <t xml:space="preserve">Декларация № ЕАЭС № BY/112 11.01. ТР017 122.01 08246, до 19.04.2028</t>
        </is>
      </c>
      <c r="N1263" t="inlineStr">
        <is>
          <t xml:space="preserve">35 × 27 × 4</t>
        </is>
      </c>
      <c r="O1263" t="inlineStr">
        <is>
          <t xml:space="preserve">0,35</t>
        </is>
      </c>
      <c r="P1263" t="inlineStr">
        <is>
          <t xml:space="preserve">4816148104939</t>
        </is>
      </c>
      <c r="Q1263" s="3" t="str">
        <f>HYPERLINK("https://modify.by/img/239185230/1.webp","фото")</f>
        <v>фото</v>
      </c>
      <c r="R1263" s="3" t="str">
        <f>HYPERLINK("https://modify.by/catalog/shorty/239185230/?utm_source=price&amp;utm_medium=xlsx","открыть")</f>
        <v>открыть</v>
      </c>
    </row>
    <row r="1264">
      <c r="A1264" t="inlineStr">
        <is>
          <t xml:space="preserve">Мужской</t>
        </is>
      </c>
      <c r="B1264" t="inlineStr">
        <is>
          <t xml:space="preserve">Шорты</t>
        </is>
      </c>
      <c r="C1264" t="inlineStr">
        <is>
          <t xml:space="preserve">Шорты бермуды классические хлопок экстра большие размеры</t>
        </is>
      </c>
      <c r="D1264" t="inlineStr">
        <is>
          <t xml:space="preserve">BE42M02синий</t>
        </is>
      </c>
      <c r="E1264" t="inlineStr">
        <is>
          <t xml:space="preserve">синий</t>
        </is>
      </c>
      <c r="F1264" t="inlineStr">
        <is>
          <t xml:space="preserve">62</t>
        </is>
      </c>
      <c r="G1264">
        <v>51</v>
      </c>
      <c r="H1264" s="2">
        <v>46.0</v>
      </c>
      <c r="I1264" t="inlineStr">
        <is>
          <t xml:space="preserve">Хлопок 97% Эластан 3%</t>
        </is>
      </c>
      <c r="J1264" t="inlineStr">
        <is>
          <t xml:space="preserve">лето</t>
        </is>
      </c>
      <c r="K1264" t="inlineStr">
        <is>
          <t xml:space="preserve">Бангладеш</t>
        </is>
      </c>
      <c r="L1264" t="inlineStr">
        <is>
          <t xml:space="preserve">6203429000</t>
        </is>
      </c>
      <c r="M1264" t="inlineStr">
        <is>
          <t xml:space="preserve">Декларация № ЕАЭС № BY/112 11.01. ТР017 122.01 08246, до 19.04.2028</t>
        </is>
      </c>
      <c r="N1264" t="inlineStr">
        <is>
          <t xml:space="preserve">35 × 27 × 4</t>
        </is>
      </c>
      <c r="O1264" t="inlineStr">
        <is>
          <t xml:space="preserve">0,35</t>
        </is>
      </c>
      <c r="P1264" t="inlineStr">
        <is>
          <t xml:space="preserve">4816148104946</t>
        </is>
      </c>
      <c r="Q1264" s="3" t="str">
        <f>HYPERLINK("https://modify.by/img/239185230/1.webp","фото")</f>
        <v>фото</v>
      </c>
      <c r="R1264" s="3" t="str">
        <f>HYPERLINK("https://modify.by/catalog/shorty/239185230/?utm_source=price&amp;utm_medium=xlsx","открыть")</f>
        <v>открыть</v>
      </c>
    </row>
    <row r="1265">
      <c r="A1265" t="inlineStr">
        <is>
          <t xml:space="preserve">Мужской</t>
        </is>
      </c>
      <c r="B1265" t="inlineStr">
        <is>
          <t xml:space="preserve">Шорты</t>
        </is>
      </c>
      <c r="C1265" t="inlineStr">
        <is>
          <t xml:space="preserve">Шорты бермуды классические хлопок экстра большие размеры</t>
        </is>
      </c>
      <c r="D1265" t="inlineStr">
        <is>
          <t xml:space="preserve">BE42M02синий</t>
        </is>
      </c>
      <c r="E1265" t="inlineStr">
        <is>
          <t xml:space="preserve">синий</t>
        </is>
      </c>
      <c r="F1265" t="inlineStr">
        <is>
          <t xml:space="preserve">64</t>
        </is>
      </c>
      <c r="G1265">
        <v>60</v>
      </c>
      <c r="H1265" s="2">
        <v>46.0</v>
      </c>
      <c r="I1265" t="inlineStr">
        <is>
          <t xml:space="preserve">Хлопок 97% Эластан 3%</t>
        </is>
      </c>
      <c r="J1265" t="inlineStr">
        <is>
          <t xml:space="preserve">лето</t>
        </is>
      </c>
      <c r="K1265" t="inlineStr">
        <is>
          <t xml:space="preserve">Бангладеш</t>
        </is>
      </c>
      <c r="L1265" t="inlineStr">
        <is>
          <t xml:space="preserve">6203429000</t>
        </is>
      </c>
      <c r="M1265" t="inlineStr">
        <is>
          <t xml:space="preserve">Декларация № ЕАЭС № BY/112 11.01. ТР017 122.01 08246, до 19.04.2028</t>
        </is>
      </c>
      <c r="N1265" t="inlineStr">
        <is>
          <t xml:space="preserve">35 × 27 × 4</t>
        </is>
      </c>
      <c r="O1265" t="inlineStr">
        <is>
          <t xml:space="preserve">0,35</t>
        </is>
      </c>
      <c r="P1265" t="inlineStr">
        <is>
          <t xml:space="preserve">4816148104953</t>
        </is>
      </c>
      <c r="Q1265" s="3" t="str">
        <f>HYPERLINK("https://modify.by/img/239185230/1.webp","фото")</f>
        <v>фото</v>
      </c>
      <c r="R1265" s="3" t="str">
        <f>HYPERLINK("https://modify.by/catalog/shorty/239185230/?utm_source=price&amp;utm_medium=xlsx","открыть")</f>
        <v>открыть</v>
      </c>
    </row>
    <row r="1266">
      <c r="A1266" t="inlineStr">
        <is>
          <t xml:space="preserve">Мужской</t>
        </is>
      </c>
      <c r="B1266" t="inlineStr">
        <is>
          <t xml:space="preserve">Шорты</t>
        </is>
      </c>
      <c r="C1266" t="inlineStr">
        <is>
          <t xml:space="preserve">Шорты бермуды классические хлопок экстра большие размеры</t>
        </is>
      </c>
      <c r="D1266" t="inlineStr">
        <is>
          <t xml:space="preserve">BE42M02синий</t>
        </is>
      </c>
      <c r="E1266" t="inlineStr">
        <is>
          <t xml:space="preserve">синий</t>
        </is>
      </c>
      <c r="F1266" t="inlineStr">
        <is>
          <t xml:space="preserve">66</t>
        </is>
      </c>
      <c r="G1266">
        <v>5</v>
      </c>
      <c r="H1266" s="2">
        <v>46.0</v>
      </c>
      <c r="I1266" t="inlineStr">
        <is>
          <t xml:space="preserve">Хлопок 97% Эластан 3%</t>
        </is>
      </c>
      <c r="J1266" t="inlineStr">
        <is>
          <t xml:space="preserve">лето</t>
        </is>
      </c>
      <c r="K1266" t="inlineStr">
        <is>
          <t xml:space="preserve">Бангладеш</t>
        </is>
      </c>
      <c r="L1266" t="inlineStr">
        <is>
          <t xml:space="preserve">6203429000</t>
        </is>
      </c>
      <c r="M1266" t="inlineStr">
        <is>
          <t xml:space="preserve">Декларация № ЕАЭС № BY/112 11.01. ТР017 122.01 08246, до 19.04.2028</t>
        </is>
      </c>
      <c r="N1266" t="inlineStr">
        <is>
          <t xml:space="preserve">35 × 27 × 4</t>
        </is>
      </c>
      <c r="O1266" t="inlineStr">
        <is>
          <t xml:space="preserve">0,35</t>
        </is>
      </c>
      <c r="P1266" t="inlineStr">
        <is>
          <t xml:space="preserve">4816148104960</t>
        </is>
      </c>
      <c r="Q1266" s="3" t="str">
        <f>HYPERLINK("https://modify.by/img/239185230/1.webp","фото")</f>
        <v>фото</v>
      </c>
      <c r="R1266" s="3" t="str">
        <f>HYPERLINK("https://modify.by/catalog/shorty/239185230/?utm_source=price&amp;utm_medium=xlsx","открыть")</f>
        <v>открыть</v>
      </c>
    </row>
    <row r="1267">
      <c r="A1267" t="inlineStr">
        <is>
          <t xml:space="preserve">Мужской</t>
        </is>
      </c>
      <c r="B1267" t="inlineStr">
        <is>
          <t xml:space="preserve">Шорты</t>
        </is>
      </c>
      <c r="C1267" t="inlineStr">
        <is>
          <t xml:space="preserve">Шорты бермуды классические хлопок экстра большие размеры</t>
        </is>
      </c>
      <c r="D1267" t="inlineStr">
        <is>
          <t xml:space="preserve">BE42M02синий</t>
        </is>
      </c>
      <c r="E1267" t="inlineStr">
        <is>
          <t xml:space="preserve">синий</t>
        </is>
      </c>
      <c r="F1267" t="inlineStr">
        <is>
          <t xml:space="preserve">68</t>
        </is>
      </c>
      <c r="G1267">
        <v>33</v>
      </c>
      <c r="H1267" s="2">
        <v>46.0</v>
      </c>
      <c r="I1267" t="inlineStr">
        <is>
          <t xml:space="preserve">Хлопок 97% Эластан 3%</t>
        </is>
      </c>
      <c r="J1267" t="inlineStr">
        <is>
          <t xml:space="preserve">лето</t>
        </is>
      </c>
      <c r="K1267" t="inlineStr">
        <is>
          <t xml:space="preserve">Бангладеш</t>
        </is>
      </c>
      <c r="L1267" t="inlineStr">
        <is>
          <t xml:space="preserve">6203429000</t>
        </is>
      </c>
      <c r="M1267" t="inlineStr">
        <is>
          <t xml:space="preserve">Декларация № ЕАЭС № BY/112 11.01. ТР017 122.01 08246, до 19.04.2028</t>
        </is>
      </c>
      <c r="N1267" t="inlineStr">
        <is>
          <t xml:space="preserve">35 × 27 × 4</t>
        </is>
      </c>
      <c r="O1267" t="inlineStr">
        <is>
          <t xml:space="preserve">0,35</t>
        </is>
      </c>
      <c r="P1267" t="inlineStr">
        <is>
          <t xml:space="preserve">4816148104977</t>
        </is>
      </c>
      <c r="Q1267" s="3" t="str">
        <f>HYPERLINK("https://modify.by/img/239185230/1.webp","фото")</f>
        <v>фото</v>
      </c>
      <c r="R1267" s="3" t="str">
        <f>HYPERLINK("https://modify.by/catalog/shorty/239185230/?utm_source=price&amp;utm_medium=xlsx","открыть")</f>
        <v>открыть</v>
      </c>
    </row>
    <row r="1268">
      <c r="A1268" t="inlineStr">
        <is>
          <t xml:space="preserve">Мужской</t>
        </is>
      </c>
      <c r="B1268" t="inlineStr">
        <is>
          <t xml:space="preserve">Шорты</t>
        </is>
      </c>
      <c r="C1268" t="inlineStr">
        <is>
          <t xml:space="preserve">Шорты бермуды классические хлопок экстра большие размеры</t>
        </is>
      </c>
      <c r="D1268" t="inlineStr">
        <is>
          <t xml:space="preserve">BE42M02синий</t>
        </is>
      </c>
      <c r="E1268" t="inlineStr">
        <is>
          <t xml:space="preserve">синий</t>
        </is>
      </c>
      <c r="F1268" t="inlineStr">
        <is>
          <t xml:space="preserve">70</t>
        </is>
      </c>
      <c r="G1268">
        <v>18</v>
      </c>
      <c r="H1268" s="2">
        <v>46.0</v>
      </c>
      <c r="I1268" t="inlineStr">
        <is>
          <t xml:space="preserve">Хлопок 97% Эластан 3%</t>
        </is>
      </c>
      <c r="J1268" t="inlineStr">
        <is>
          <t xml:space="preserve">лето</t>
        </is>
      </c>
      <c r="K1268" t="inlineStr">
        <is>
          <t xml:space="preserve">Бангладеш</t>
        </is>
      </c>
      <c r="L1268" t="inlineStr">
        <is>
          <t xml:space="preserve">6203429000</t>
        </is>
      </c>
      <c r="M1268" t="inlineStr">
        <is>
          <t xml:space="preserve">Декларация № ЕАЭС № BY/112 11.01. ТР017 122.01 08246, до 19.04.2028</t>
        </is>
      </c>
      <c r="N1268" t="inlineStr">
        <is>
          <t xml:space="preserve">35 × 27 × 4</t>
        </is>
      </c>
      <c r="O1268" t="inlineStr">
        <is>
          <t xml:space="preserve">0,35</t>
        </is>
      </c>
      <c r="P1268" t="inlineStr">
        <is>
          <t xml:space="preserve">4816148104984</t>
        </is>
      </c>
      <c r="Q1268" s="3" t="str">
        <f>HYPERLINK("https://modify.by/img/239185230/1.webp","фото")</f>
        <v>фото</v>
      </c>
      <c r="R1268" s="3" t="str">
        <f>HYPERLINK("https://modify.by/catalog/shorty/239185230/?utm_source=price&amp;utm_medium=xlsx","открыть")</f>
        <v>открыть</v>
      </c>
    </row>
    <row r="1269">
      <c r="A1269" t="inlineStr">
        <is>
          <t xml:space="preserve">Мужской</t>
        </is>
      </c>
      <c r="B1269" t="inlineStr">
        <is>
          <t xml:space="preserve">Шорты</t>
        </is>
      </c>
      <c r="C1269" t="inlineStr">
        <is>
          <t xml:space="preserve">Шорты бермуды классические хлопок экстра большие размеры</t>
        </is>
      </c>
      <c r="D1269" t="inlineStr">
        <is>
          <t xml:space="preserve">BE42M02синий</t>
        </is>
      </c>
      <c r="E1269" t="inlineStr">
        <is>
          <t xml:space="preserve">синий</t>
        </is>
      </c>
      <c r="F1269" t="inlineStr">
        <is>
          <t xml:space="preserve">72</t>
        </is>
      </c>
      <c r="G1269">
        <v>6</v>
      </c>
      <c r="H1269" s="2">
        <v>46.0</v>
      </c>
      <c r="I1269" t="inlineStr">
        <is>
          <t xml:space="preserve">Хлопок 97% Эластан 3%</t>
        </is>
      </c>
      <c r="J1269" t="inlineStr">
        <is>
          <t xml:space="preserve">лето</t>
        </is>
      </c>
      <c r="K1269" t="inlineStr">
        <is>
          <t xml:space="preserve">Бангладеш</t>
        </is>
      </c>
      <c r="L1269" t="inlineStr">
        <is>
          <t xml:space="preserve">6203429000</t>
        </is>
      </c>
      <c r="M1269" t="inlineStr">
        <is>
          <t xml:space="preserve">Декларация № ЕАЭС № BY/112 11.01. ТР017 122.01 08246, до 19.04.2028</t>
        </is>
      </c>
      <c r="N1269" t="inlineStr">
        <is>
          <t xml:space="preserve">35 × 27 × 4</t>
        </is>
      </c>
      <c r="O1269" t="inlineStr">
        <is>
          <t xml:space="preserve">0,35</t>
        </is>
      </c>
      <c r="P1269" t="inlineStr">
        <is>
          <t xml:space="preserve">4816148104991</t>
        </is>
      </c>
      <c r="Q1269" s="3" t="str">
        <f>HYPERLINK("https://modify.by/img/239185230/1.webp","фото")</f>
        <v>фото</v>
      </c>
      <c r="R1269" s="3" t="str">
        <f>HYPERLINK("https://modify.by/catalog/shorty/239185230/?utm_source=price&amp;utm_medium=xlsx","открыть")</f>
        <v>открыть</v>
      </c>
    </row>
    <row r="1270">
      <c r="A1270" t="inlineStr">
        <is>
          <t xml:space="preserve">Мужской</t>
        </is>
      </c>
      <c r="B1270" t="inlineStr">
        <is>
          <t xml:space="preserve">Шорты</t>
        </is>
      </c>
      <c r="C1270" t="inlineStr">
        <is>
          <t xml:space="preserve">Шорты бермуды классические хлопок экстра большие размеры</t>
        </is>
      </c>
      <c r="D1270" t="inlineStr">
        <is>
          <t xml:space="preserve">BE42M02синий</t>
        </is>
      </c>
      <c r="E1270" t="inlineStr">
        <is>
          <t xml:space="preserve">синий</t>
        </is>
      </c>
      <c r="F1270" t="inlineStr">
        <is>
          <t xml:space="preserve">76</t>
        </is>
      </c>
      <c r="G1270">
        <v>5</v>
      </c>
      <c r="H1270" s="2">
        <v>46.0</v>
      </c>
      <c r="I1270" t="inlineStr">
        <is>
          <t xml:space="preserve">Хлопок 97% Эластан 3%</t>
        </is>
      </c>
      <c r="J1270" t="inlineStr">
        <is>
          <t xml:space="preserve">лето</t>
        </is>
      </c>
      <c r="K1270" t="inlineStr">
        <is>
          <t xml:space="preserve">Бангладеш</t>
        </is>
      </c>
      <c r="L1270" t="inlineStr">
        <is>
          <t xml:space="preserve">6203429000</t>
        </is>
      </c>
      <c r="M1270" t="inlineStr">
        <is>
          <t xml:space="preserve">Декларация № ЕАЭС № BY/112 11.01. ТР017 122.01 08246, до 19.04.2028</t>
        </is>
      </c>
      <c r="N1270" t="inlineStr">
        <is>
          <t xml:space="preserve">35 × 27 × 4</t>
        </is>
      </c>
      <c r="O1270" t="inlineStr">
        <is>
          <t xml:space="preserve">0,35</t>
        </is>
      </c>
      <c r="P1270" t="inlineStr">
        <is>
          <t xml:space="preserve">4816148105011</t>
        </is>
      </c>
      <c r="Q1270" s="3" t="str">
        <f>HYPERLINK("https://modify.by/img/239185230/1.webp","фото")</f>
        <v>фото</v>
      </c>
      <c r="R1270" s="3" t="str">
        <f>HYPERLINK("https://modify.by/catalog/shorty/239185230/?utm_source=price&amp;utm_medium=xlsx","открыть")</f>
        <v>открыть</v>
      </c>
    </row>
    <row r="1271">
      <c r="A1271" t="inlineStr">
        <is>
          <t xml:space="preserve">Мужской</t>
        </is>
      </c>
      <c r="B1271" t="inlineStr">
        <is>
          <t xml:space="preserve">Шорты</t>
        </is>
      </c>
      <c r="C1271" t="inlineStr">
        <is>
          <t xml:space="preserve">Шорты бермуды классические хлопок, кирпичный</t>
        </is>
      </c>
      <c r="D1271" t="inlineStr">
        <is>
          <t xml:space="preserve">BE62M02_кирпичный</t>
        </is>
      </c>
      <c r="E1271" t="inlineStr">
        <is>
          <t xml:space="preserve">кирпичный</t>
        </is>
      </c>
      <c r="F1271" t="inlineStr">
        <is>
          <t xml:space="preserve">40-42</t>
        </is>
      </c>
      <c r="G1271">
        <v>13</v>
      </c>
      <c r="H1271" s="2">
        <v>29.0</v>
      </c>
      <c r="I1271" t="inlineStr">
        <is>
          <t xml:space="preserve">100% премиум хлопок</t>
        </is>
      </c>
      <c r="J1271" t="inlineStr">
        <is>
          <t xml:space="preserve">лето</t>
        </is>
      </c>
      <c r="K1271" t="inlineStr">
        <is>
          <t xml:space="preserve">Бангладеш</t>
        </is>
      </c>
      <c r="L1271" t="inlineStr">
        <is>
          <t xml:space="preserve">6203429000</t>
        </is>
      </c>
      <c r="M1271" t="inlineStr">
        <is>
          <t xml:space="preserve">Декларация № ЕАЭС № BY/112 11.01. ТР017 122.01 08246, до 19.04.2028</t>
        </is>
      </c>
      <c r="N1271" t="inlineStr">
        <is>
          <t xml:space="preserve">21 × 15 × 5</t>
        </is>
      </c>
      <c r="O1271" t="inlineStr">
        <is>
          <t xml:space="preserve">0,3</t>
        </is>
      </c>
      <c r="P1271" t="inlineStr">
        <is>
          <t xml:space="preserve">4816148185198</t>
        </is>
      </c>
      <c r="Q1271" s="3" t="str">
        <f>HYPERLINK("https://modify.by/img/1214048754/1.webp","фото")</f>
        <v>фото</v>
      </c>
      <c r="R1271" s="3" t="str">
        <f>HYPERLINK("https://modify.by/catalog/shorty/1214048754/?utm_source=price&amp;utm_medium=xlsx","открыть")</f>
        <v>открыть</v>
      </c>
    </row>
    <row r="1272">
      <c r="A1272" t="inlineStr">
        <is>
          <t xml:space="preserve">Мужской</t>
        </is>
      </c>
      <c r="B1272" t="inlineStr">
        <is>
          <t xml:space="preserve">Шорты</t>
        </is>
      </c>
      <c r="C1272" t="inlineStr">
        <is>
          <t xml:space="preserve">Шорты бермуды классические хлопок, кирпичный</t>
        </is>
      </c>
      <c r="D1272" t="inlineStr">
        <is>
          <t xml:space="preserve">BE62M02_кирпичный</t>
        </is>
      </c>
      <c r="E1272" t="inlineStr">
        <is>
          <t xml:space="preserve">кирпичный</t>
        </is>
      </c>
      <c r="F1272" t="inlineStr">
        <is>
          <t xml:space="preserve">42-44</t>
        </is>
      </c>
      <c r="G1272">
        <v>8</v>
      </c>
      <c r="H1272" s="2">
        <v>29.0</v>
      </c>
      <c r="I1272" t="inlineStr">
        <is>
          <t xml:space="preserve">100% премиум хлопок</t>
        </is>
      </c>
      <c r="J1272" t="inlineStr">
        <is>
          <t xml:space="preserve">лето</t>
        </is>
      </c>
      <c r="K1272" t="inlineStr">
        <is>
          <t xml:space="preserve">Бангладеш</t>
        </is>
      </c>
      <c r="L1272" t="inlineStr">
        <is>
          <t xml:space="preserve">6203429000</t>
        </is>
      </c>
      <c r="M1272" t="inlineStr">
        <is>
          <t xml:space="preserve">Декларация № ЕАЭС № BY/112 11.01. ТР017 122.01 08246, до 19.04.2028</t>
        </is>
      </c>
      <c r="N1272" t="inlineStr">
        <is>
          <t xml:space="preserve">21 × 15 × 5</t>
        </is>
      </c>
      <c r="O1272" t="inlineStr">
        <is>
          <t xml:space="preserve">0,3</t>
        </is>
      </c>
      <c r="P1272" t="inlineStr">
        <is>
          <t xml:space="preserve">4816148185204</t>
        </is>
      </c>
      <c r="Q1272" s="3" t="str">
        <f>HYPERLINK("https://modify.by/img/1214048754/1.webp","фото")</f>
        <v>фото</v>
      </c>
      <c r="R1272" s="3" t="str">
        <f>HYPERLINK("https://modify.by/catalog/shorty/1214048754/?utm_source=price&amp;utm_medium=xlsx","открыть")</f>
        <v>открыть</v>
      </c>
    </row>
    <row r="1273">
      <c r="A1273" t="inlineStr">
        <is>
          <t xml:space="preserve">Мужской</t>
        </is>
      </c>
      <c r="B1273" t="inlineStr">
        <is>
          <t xml:space="preserve">Шорты</t>
        </is>
      </c>
      <c r="C1273" t="inlineStr">
        <is>
          <t xml:space="preserve">Шорты бермуды классические хлопок, кирпичный</t>
        </is>
      </c>
      <c r="D1273" t="inlineStr">
        <is>
          <t xml:space="preserve">BE62M02_кирпичный</t>
        </is>
      </c>
      <c r="E1273" t="inlineStr">
        <is>
          <t xml:space="preserve">кирпичный</t>
        </is>
      </c>
      <c r="F1273" t="inlineStr">
        <is>
          <t xml:space="preserve">44-46</t>
        </is>
      </c>
      <c r="G1273">
        <v>25</v>
      </c>
      <c r="H1273" s="2">
        <v>29.0</v>
      </c>
      <c r="I1273" t="inlineStr">
        <is>
          <t xml:space="preserve">100% премиум хлопок</t>
        </is>
      </c>
      <c r="J1273" t="inlineStr">
        <is>
          <t xml:space="preserve">лето</t>
        </is>
      </c>
      <c r="K1273" t="inlineStr">
        <is>
          <t xml:space="preserve">Бангладеш</t>
        </is>
      </c>
      <c r="L1273" t="inlineStr">
        <is>
          <t xml:space="preserve">6203429000</t>
        </is>
      </c>
      <c r="M1273" t="inlineStr">
        <is>
          <t xml:space="preserve">Декларация № ЕАЭС № BY/112 11.01. ТР017 122.01 08246, до 19.04.2028</t>
        </is>
      </c>
      <c r="N1273" t="inlineStr">
        <is>
          <t xml:space="preserve">21 × 15 × 5</t>
        </is>
      </c>
      <c r="O1273" t="inlineStr">
        <is>
          <t xml:space="preserve">0,3</t>
        </is>
      </c>
      <c r="P1273" t="inlineStr">
        <is>
          <t xml:space="preserve">4816148185211</t>
        </is>
      </c>
      <c r="Q1273" s="3" t="str">
        <f>HYPERLINK("https://modify.by/img/1214048754/1.webp","фото")</f>
        <v>фото</v>
      </c>
      <c r="R1273" s="3" t="str">
        <f>HYPERLINK("https://modify.by/catalog/shorty/1214048754/?utm_source=price&amp;utm_medium=xlsx","открыть")</f>
        <v>открыть</v>
      </c>
    </row>
    <row r="1274">
      <c r="A1274" t="inlineStr">
        <is>
          <t xml:space="preserve">Мужской</t>
        </is>
      </c>
      <c r="B1274" t="inlineStr">
        <is>
          <t xml:space="preserve">Шорты</t>
        </is>
      </c>
      <c r="C1274" t="inlineStr">
        <is>
          <t xml:space="preserve">Шорты бермуды классические хлопок, кирпичный</t>
        </is>
      </c>
      <c r="D1274" t="inlineStr">
        <is>
          <t xml:space="preserve">BE62M02_кирпичный</t>
        </is>
      </c>
      <c r="E1274" t="inlineStr">
        <is>
          <t xml:space="preserve">кирпичный</t>
        </is>
      </c>
      <c r="F1274" t="inlineStr">
        <is>
          <t xml:space="preserve">46-48</t>
        </is>
      </c>
      <c r="G1274">
        <v>6</v>
      </c>
      <c r="H1274" s="2">
        <v>29.0</v>
      </c>
      <c r="I1274" t="inlineStr">
        <is>
          <t xml:space="preserve">100% премиум хлопок</t>
        </is>
      </c>
      <c r="J1274" t="inlineStr">
        <is>
          <t xml:space="preserve">лето</t>
        </is>
      </c>
      <c r="K1274" t="inlineStr">
        <is>
          <t xml:space="preserve">Бангладеш</t>
        </is>
      </c>
      <c r="L1274" t="inlineStr">
        <is>
          <t xml:space="preserve">6203429000</t>
        </is>
      </c>
      <c r="M1274" t="inlineStr">
        <is>
          <t xml:space="preserve">Декларация № ЕАЭС № BY/112 11.01. ТР017 122.01 08246, до 19.04.2028</t>
        </is>
      </c>
      <c r="N1274" t="inlineStr">
        <is>
          <t xml:space="preserve">21 × 15 × 5</t>
        </is>
      </c>
      <c r="O1274" t="inlineStr">
        <is>
          <t xml:space="preserve">0,3</t>
        </is>
      </c>
      <c r="P1274" t="inlineStr">
        <is>
          <t xml:space="preserve">4816148185228</t>
        </is>
      </c>
      <c r="Q1274" s="3" t="str">
        <f>HYPERLINK("https://modify.by/img/1214048754/1.webp","фото")</f>
        <v>фото</v>
      </c>
      <c r="R1274" s="3" t="str">
        <f>HYPERLINK("https://modify.by/catalog/shorty/1214048754/?utm_source=price&amp;utm_medium=xlsx","открыть")</f>
        <v>открыть</v>
      </c>
    </row>
    <row r="1275">
      <c r="A1275" t="inlineStr">
        <is>
          <t xml:space="preserve">Мужской</t>
        </is>
      </c>
      <c r="B1275" t="inlineStr">
        <is>
          <t xml:space="preserve">Шорты</t>
        </is>
      </c>
      <c r="C1275" t="inlineStr">
        <is>
          <t xml:space="preserve">Шорты бермуды классические хлопок, кирпичный</t>
        </is>
      </c>
      <c r="D1275" t="inlineStr">
        <is>
          <t xml:space="preserve">BE62M02_кирпичный</t>
        </is>
      </c>
      <c r="E1275" t="inlineStr">
        <is>
          <t xml:space="preserve">кирпичный</t>
        </is>
      </c>
      <c r="F1275" t="inlineStr">
        <is>
          <t xml:space="preserve">52-54</t>
        </is>
      </c>
      <c r="G1275">
        <v>1</v>
      </c>
      <c r="H1275" s="2">
        <v>29.0</v>
      </c>
      <c r="I1275" t="inlineStr">
        <is>
          <t xml:space="preserve">100% премиум хлопок</t>
        </is>
      </c>
      <c r="J1275" t="inlineStr">
        <is>
          <t xml:space="preserve">лето</t>
        </is>
      </c>
      <c r="K1275" t="inlineStr">
        <is>
          <t xml:space="preserve">Бангладеш</t>
        </is>
      </c>
      <c r="L1275" t="inlineStr">
        <is>
          <t xml:space="preserve">6203429000</t>
        </is>
      </c>
      <c r="M1275" t="inlineStr">
        <is>
          <t xml:space="preserve">Декларация № ЕАЭС № BY/112 11.01. ТР017 122.01 08246, до 19.04.2028</t>
        </is>
      </c>
      <c r="N1275" t="inlineStr">
        <is>
          <t xml:space="preserve">21 × 15 × 5</t>
        </is>
      </c>
      <c r="O1275" t="inlineStr">
        <is>
          <t xml:space="preserve">0,3</t>
        </is>
      </c>
      <c r="P1275" t="inlineStr">
        <is>
          <t xml:space="preserve">4816148185242</t>
        </is>
      </c>
      <c r="Q1275" s="3" t="str">
        <f>HYPERLINK("https://modify.by/img/1214048754/1.webp","фото")</f>
        <v>фото</v>
      </c>
      <c r="R1275" s="3" t="str">
        <f>HYPERLINK("https://modify.by/catalog/shorty/1214048754/?utm_source=price&amp;utm_medium=xlsx","открыть")</f>
        <v>открыть</v>
      </c>
    </row>
    <row r="1276">
      <c r="A1276" t="inlineStr">
        <is>
          <t xml:space="preserve">Мужской</t>
        </is>
      </c>
      <c r="B1276" t="inlineStr">
        <is>
          <t xml:space="preserve">Шорты</t>
        </is>
      </c>
      <c r="C1276" t="inlineStr">
        <is>
          <t xml:space="preserve">Шорты бермуды классические хлопок, охра</t>
        </is>
      </c>
      <c r="D1276" t="inlineStr">
        <is>
          <t xml:space="preserve">BE62M02_светлая_охра</t>
        </is>
      </c>
      <c r="E1276" t="inlineStr">
        <is>
          <t xml:space="preserve">охра, желто-коричневый</t>
        </is>
      </c>
      <c r="F1276" t="inlineStr">
        <is>
          <t xml:space="preserve">40-42</t>
        </is>
      </c>
      <c r="G1276">
        <v>7</v>
      </c>
      <c r="H1276" s="2">
        <v>29.0</v>
      </c>
      <c r="I1276" t="inlineStr">
        <is>
          <t xml:space="preserve">100% премиум хлопок</t>
        </is>
      </c>
      <c r="J1276" t="inlineStr">
        <is>
          <t xml:space="preserve">лето</t>
        </is>
      </c>
      <c r="K1276" t="inlineStr">
        <is>
          <t xml:space="preserve">Бангладеш</t>
        </is>
      </c>
      <c r="L1276" t="inlineStr">
        <is>
          <t xml:space="preserve">6203429000</t>
        </is>
      </c>
      <c r="M1276" t="inlineStr">
        <is>
          <t xml:space="preserve">Декларация № ЕАЭС № BY/112 11.01. ТР017 122.01 08246, до 19.04.2028</t>
        </is>
      </c>
      <c r="N1276" t="inlineStr">
        <is>
          <t xml:space="preserve">21 × 15 × 5</t>
        </is>
      </c>
      <c r="O1276" t="inlineStr">
        <is>
          <t xml:space="preserve">0,3</t>
        </is>
      </c>
      <c r="P1276" t="inlineStr">
        <is>
          <t xml:space="preserve">4816148185259</t>
        </is>
      </c>
      <c r="Q1276" s="3" t="str">
        <f>HYPERLINK("https://modify.by/img/1214074337/1.webp","фото")</f>
        <v>фото</v>
      </c>
      <c r="R1276" s="3" t="str">
        <f>HYPERLINK("https://modify.by/catalog/shorty/1214074337/?utm_source=price&amp;utm_medium=xlsx","открыть")</f>
        <v>открыть</v>
      </c>
    </row>
    <row r="1277">
      <c r="A1277" t="inlineStr">
        <is>
          <t xml:space="preserve">Мужской</t>
        </is>
      </c>
      <c r="B1277" t="inlineStr">
        <is>
          <t xml:space="preserve">Шорты</t>
        </is>
      </c>
      <c r="C1277" t="inlineStr">
        <is>
          <t xml:space="preserve">Шорты бермуды классические хлопок, охра</t>
        </is>
      </c>
      <c r="D1277" t="inlineStr">
        <is>
          <t xml:space="preserve">BE62M02_светлая_охра</t>
        </is>
      </c>
      <c r="E1277" t="inlineStr">
        <is>
          <t xml:space="preserve">охра, желто-коричневый</t>
        </is>
      </c>
      <c r="F1277" t="inlineStr">
        <is>
          <t xml:space="preserve">42-44</t>
        </is>
      </c>
      <c r="G1277">
        <v>16</v>
      </c>
      <c r="H1277" s="2">
        <v>29.0</v>
      </c>
      <c r="I1277" t="inlineStr">
        <is>
          <t xml:space="preserve">100% премиум хлопок</t>
        </is>
      </c>
      <c r="J1277" t="inlineStr">
        <is>
          <t xml:space="preserve">лето</t>
        </is>
      </c>
      <c r="K1277" t="inlineStr">
        <is>
          <t xml:space="preserve">Бангладеш</t>
        </is>
      </c>
      <c r="L1277" t="inlineStr">
        <is>
          <t xml:space="preserve">6203429000</t>
        </is>
      </c>
      <c r="M1277" t="inlineStr">
        <is>
          <t xml:space="preserve">Декларация № ЕАЭС № BY/112 11.01. ТР017 122.01 08246, до 19.04.2028</t>
        </is>
      </c>
      <c r="N1277" t="inlineStr">
        <is>
          <t xml:space="preserve">21 × 15 × 5</t>
        </is>
      </c>
      <c r="O1277" t="inlineStr">
        <is>
          <t xml:space="preserve">0,3</t>
        </is>
      </c>
      <c r="P1277" t="inlineStr">
        <is>
          <t xml:space="preserve">4816148185266</t>
        </is>
      </c>
      <c r="Q1277" s="3" t="str">
        <f>HYPERLINK("https://modify.by/img/1214074337/1.webp","фото")</f>
        <v>фото</v>
      </c>
      <c r="R1277" s="3" t="str">
        <f>HYPERLINK("https://modify.by/catalog/shorty/1214074337/?utm_source=price&amp;utm_medium=xlsx","открыть")</f>
        <v>открыть</v>
      </c>
    </row>
    <row r="1278">
      <c r="A1278" t="inlineStr">
        <is>
          <t xml:space="preserve">Мужской</t>
        </is>
      </c>
      <c r="B1278" t="inlineStr">
        <is>
          <t xml:space="preserve">Шорты</t>
        </is>
      </c>
      <c r="C1278" t="inlineStr">
        <is>
          <t xml:space="preserve">Шорты бермуды классические хлопок, охра</t>
        </is>
      </c>
      <c r="D1278" t="inlineStr">
        <is>
          <t xml:space="preserve">BE62M02_светлая_охра</t>
        </is>
      </c>
      <c r="E1278" t="inlineStr">
        <is>
          <t xml:space="preserve">охра, желто-коричневый</t>
        </is>
      </c>
      <c r="F1278" t="inlineStr">
        <is>
          <t xml:space="preserve">44-46</t>
        </is>
      </c>
      <c r="G1278">
        <v>38</v>
      </c>
      <c r="H1278" s="2">
        <v>29.0</v>
      </c>
      <c r="I1278" t="inlineStr">
        <is>
          <t xml:space="preserve">100% премиум хлопок</t>
        </is>
      </c>
      <c r="J1278" t="inlineStr">
        <is>
          <t xml:space="preserve">лето</t>
        </is>
      </c>
      <c r="K1278" t="inlineStr">
        <is>
          <t xml:space="preserve">Бангладеш</t>
        </is>
      </c>
      <c r="L1278" t="inlineStr">
        <is>
          <t xml:space="preserve">6203429000</t>
        </is>
      </c>
      <c r="M1278" t="inlineStr">
        <is>
          <t xml:space="preserve">Декларация № ЕАЭС № BY/112 11.01. ТР017 122.01 08246, до 19.04.2028</t>
        </is>
      </c>
      <c r="N1278" t="inlineStr">
        <is>
          <t xml:space="preserve">21 × 15 × 5</t>
        </is>
      </c>
      <c r="O1278" t="inlineStr">
        <is>
          <t xml:space="preserve">0,3</t>
        </is>
      </c>
      <c r="P1278" t="inlineStr">
        <is>
          <t xml:space="preserve">4816148185273</t>
        </is>
      </c>
      <c r="Q1278" s="3" t="str">
        <f>HYPERLINK("https://modify.by/img/1214074337/1.webp","фото")</f>
        <v>фото</v>
      </c>
      <c r="R1278" s="3" t="str">
        <f>HYPERLINK("https://modify.by/catalog/shorty/1214074337/?utm_source=price&amp;utm_medium=xlsx","открыть")</f>
        <v>открыть</v>
      </c>
    </row>
    <row r="1279">
      <c r="A1279" t="inlineStr">
        <is>
          <t xml:space="preserve">Мужской</t>
        </is>
      </c>
      <c r="B1279" t="inlineStr">
        <is>
          <t xml:space="preserve">Шорты</t>
        </is>
      </c>
      <c r="C1279" t="inlineStr">
        <is>
          <t xml:space="preserve">Шорты бермуды классические хлопок, охра</t>
        </is>
      </c>
      <c r="D1279" t="inlineStr">
        <is>
          <t xml:space="preserve">BE62M02_светлая_охра</t>
        </is>
      </c>
      <c r="E1279" t="inlineStr">
        <is>
          <t xml:space="preserve">охра, желто-коричневый</t>
        </is>
      </c>
      <c r="F1279" t="inlineStr">
        <is>
          <t xml:space="preserve">46-48</t>
        </is>
      </c>
      <c r="G1279">
        <v>25</v>
      </c>
      <c r="H1279" s="2">
        <v>29.0</v>
      </c>
      <c r="I1279" t="inlineStr">
        <is>
          <t xml:space="preserve">100% премиум хлопок</t>
        </is>
      </c>
      <c r="J1279" t="inlineStr">
        <is>
          <t xml:space="preserve">лето</t>
        </is>
      </c>
      <c r="K1279" t="inlineStr">
        <is>
          <t xml:space="preserve">Бангладеш</t>
        </is>
      </c>
      <c r="L1279" t="inlineStr">
        <is>
          <t xml:space="preserve">6203429000</t>
        </is>
      </c>
      <c r="M1279" t="inlineStr">
        <is>
          <t xml:space="preserve">Декларация № ЕАЭС № BY/112 11.01. ТР017 122.01 08246, до 19.04.2028</t>
        </is>
      </c>
      <c r="N1279" t="inlineStr">
        <is>
          <t xml:space="preserve">21 × 15 × 5</t>
        </is>
      </c>
      <c r="O1279" t="inlineStr">
        <is>
          <t xml:space="preserve">0,3</t>
        </is>
      </c>
      <c r="P1279" t="inlineStr">
        <is>
          <t xml:space="preserve">4816148185280</t>
        </is>
      </c>
      <c r="Q1279" s="3" t="str">
        <f>HYPERLINK("https://modify.by/img/1214074337/1.webp","фото")</f>
        <v>фото</v>
      </c>
      <c r="R1279" s="3" t="str">
        <f>HYPERLINK("https://modify.by/catalog/shorty/1214074337/?utm_source=price&amp;utm_medium=xlsx","открыть")</f>
        <v>открыть</v>
      </c>
    </row>
    <row r="1280">
      <c r="A1280" t="inlineStr">
        <is>
          <t xml:space="preserve">Мужской</t>
        </is>
      </c>
      <c r="B1280" t="inlineStr">
        <is>
          <t xml:space="preserve">Шорты</t>
        </is>
      </c>
      <c r="C1280" t="inlineStr">
        <is>
          <t xml:space="preserve">Шорты бермуды классические хлопок, охра</t>
        </is>
      </c>
      <c r="D1280" t="inlineStr">
        <is>
          <t xml:space="preserve">BE62M02_светлая_охра</t>
        </is>
      </c>
      <c r="E1280" t="inlineStr">
        <is>
          <t xml:space="preserve">охра, желто-коричневый</t>
        </is>
      </c>
      <c r="F1280" t="inlineStr">
        <is>
          <t xml:space="preserve">50-52</t>
        </is>
      </c>
      <c r="G1280">
        <v>2</v>
      </c>
      <c r="H1280" s="2">
        <v>29.0</v>
      </c>
      <c r="I1280" t="inlineStr">
        <is>
          <t xml:space="preserve">100% премиум хлопок</t>
        </is>
      </c>
      <c r="J1280" t="inlineStr">
        <is>
          <t xml:space="preserve">лето</t>
        </is>
      </c>
      <c r="K1280" t="inlineStr">
        <is>
          <t xml:space="preserve">Бангладеш</t>
        </is>
      </c>
      <c r="L1280" t="inlineStr">
        <is>
          <t xml:space="preserve">6203429000</t>
        </is>
      </c>
      <c r="M1280" t="inlineStr">
        <is>
          <t xml:space="preserve">Декларация № ЕАЭС № BY/112 11.01. ТР017 122.01 08246, до 19.04.2028</t>
        </is>
      </c>
      <c r="N1280" t="inlineStr">
        <is>
          <t xml:space="preserve">21 × 15 × 5</t>
        </is>
      </c>
      <c r="O1280" t="inlineStr">
        <is>
          <t xml:space="preserve">0,3</t>
        </is>
      </c>
      <c r="P1280" t="inlineStr">
        <is>
          <t xml:space="preserve">4816148185297</t>
        </is>
      </c>
      <c r="Q1280" s="3" t="str">
        <f>HYPERLINK("https://modify.by/img/1214074337/1.webp","фото")</f>
        <v>фото</v>
      </c>
      <c r="R1280" s="3" t="str">
        <f>HYPERLINK("https://modify.by/catalog/shorty/1214074337/?utm_source=price&amp;utm_medium=xlsx","открыть")</f>
        <v>открыть</v>
      </c>
    </row>
    <row r="1281">
      <c r="A1281" t="inlineStr">
        <is>
          <t xml:space="preserve">Мужской</t>
        </is>
      </c>
      <c r="B1281" t="inlineStr">
        <is>
          <t xml:space="preserve">Шорты</t>
        </is>
      </c>
      <c r="C1281" t="inlineStr">
        <is>
          <t xml:space="preserve">Шорты бермуды классические хлопок, охра</t>
        </is>
      </c>
      <c r="D1281" t="inlineStr">
        <is>
          <t xml:space="preserve">BE62M02_светлая_охра</t>
        </is>
      </c>
      <c r="E1281" t="inlineStr">
        <is>
          <t xml:space="preserve">охра, желто-коричневый</t>
        </is>
      </c>
      <c r="F1281" t="inlineStr">
        <is>
          <t xml:space="preserve">52-54</t>
        </is>
      </c>
      <c r="G1281">
        <v>2</v>
      </c>
      <c r="H1281" s="2">
        <v>29.0</v>
      </c>
      <c r="I1281" t="inlineStr">
        <is>
          <t xml:space="preserve">100% премиум хлопок</t>
        </is>
      </c>
      <c r="J1281" t="inlineStr">
        <is>
          <t xml:space="preserve">лето</t>
        </is>
      </c>
      <c r="K1281" t="inlineStr">
        <is>
          <t xml:space="preserve">Бангладеш</t>
        </is>
      </c>
      <c r="L1281" t="inlineStr">
        <is>
          <t xml:space="preserve">6203429000</t>
        </is>
      </c>
      <c r="M1281" t="inlineStr">
        <is>
          <t xml:space="preserve">Декларация № ЕАЭС № BY/112 11.01. ТР017 122.01 08246, до 19.04.2028</t>
        </is>
      </c>
      <c r="N1281" t="inlineStr">
        <is>
          <t xml:space="preserve">21 × 15 × 5</t>
        </is>
      </c>
      <c r="O1281" t="inlineStr">
        <is>
          <t xml:space="preserve">0,3</t>
        </is>
      </c>
      <c r="P1281" t="inlineStr">
        <is>
          <t xml:space="preserve">4816148185303</t>
        </is>
      </c>
      <c r="Q1281" s="3" t="str">
        <f>HYPERLINK("https://modify.by/img/1214074337/1.webp","фото")</f>
        <v>фото</v>
      </c>
      <c r="R1281" s="3" t="str">
        <f>HYPERLINK("https://modify.by/catalog/shorty/1214074337/?utm_source=price&amp;utm_medium=xlsx","открыть")</f>
        <v>открыть</v>
      </c>
    </row>
    <row r="1282">
      <c r="A1282" t="inlineStr">
        <is>
          <t xml:space="preserve">Мужской</t>
        </is>
      </c>
      <c r="B1282" t="inlineStr">
        <is>
          <t xml:space="preserve">Шорты</t>
        </is>
      </c>
      <c r="C1282" t="inlineStr">
        <is>
          <t xml:space="preserve">Шорты бермуды классические хлопок, черный</t>
        </is>
      </c>
      <c r="D1282" t="inlineStr">
        <is>
          <t xml:space="preserve">BE32M10Черный</t>
        </is>
      </c>
      <c r="E1282" t="inlineStr">
        <is>
          <t xml:space="preserve">черный</t>
        </is>
      </c>
      <c r="F1282" t="inlineStr">
        <is>
          <t xml:space="preserve">48</t>
        </is>
      </c>
      <c r="G1282">
        <v>3</v>
      </c>
      <c r="H1282" s="2">
        <v>31.0</v>
      </c>
      <c r="I1282" t="inlineStr">
        <is>
          <t xml:space="preserve">98% хлопок 2% эластан</t>
        </is>
      </c>
      <c r="J1282" t="inlineStr">
        <is>
          <t xml:space="preserve">лето</t>
        </is>
      </c>
      <c r="K1282" t="inlineStr">
        <is>
          <t xml:space="preserve">Бангладеш</t>
        </is>
      </c>
      <c r="L1282" t="inlineStr">
        <is>
          <t xml:space="preserve">6203429000</t>
        </is>
      </c>
      <c r="M1282" t="inlineStr">
        <is>
          <t xml:space="preserve">Декларация № ЕАЭС № BY/112 11.01. ТР017 122.01 08246, до 19.04.2028</t>
        </is>
      </c>
      <c r="N1282" t="inlineStr">
        <is>
          <t xml:space="preserve">35 × 30 × 3</t>
        </is>
      </c>
      <c r="O1282" t="inlineStr">
        <is>
          <t xml:space="preserve">0,35</t>
        </is>
      </c>
      <c r="P1282" t="inlineStr">
        <is>
          <t xml:space="preserve">2026620787761</t>
        </is>
      </c>
      <c r="Q1282" s="3" t="str">
        <f>HYPERLINK("https://modify.by/img/149603629/1.webp","фото")</f>
        <v>фото</v>
      </c>
      <c r="R1282" s="3" t="str">
        <f>HYPERLINK("https://modify.by/catalog/shorty/149603629/?utm_source=price&amp;utm_medium=xlsx","открыть")</f>
        <v>открыть</v>
      </c>
    </row>
    <row r="1283">
      <c r="A1283" t="inlineStr">
        <is>
          <t xml:space="preserve">Мужской</t>
        </is>
      </c>
      <c r="B1283" t="inlineStr">
        <is>
          <t xml:space="preserve">Шорты</t>
        </is>
      </c>
      <c r="C1283" t="inlineStr">
        <is>
          <t xml:space="preserve">Шорты бермуды классические хлопок, черный</t>
        </is>
      </c>
      <c r="D1283" t="inlineStr">
        <is>
          <t xml:space="preserve">BE32M10Черный</t>
        </is>
      </c>
      <c r="E1283" t="inlineStr">
        <is>
          <t xml:space="preserve">черный</t>
        </is>
      </c>
      <c r="F1283" t="inlineStr">
        <is>
          <t xml:space="preserve">48</t>
        </is>
      </c>
      <c r="G1283">
        <v>3</v>
      </c>
      <c r="H1283" s="2">
        <v>31.0</v>
      </c>
      <c r="I1283" t="inlineStr">
        <is>
          <t xml:space="preserve">98% хлопок 2% эластан</t>
        </is>
      </c>
      <c r="J1283" t="inlineStr">
        <is>
          <t xml:space="preserve">лето</t>
        </is>
      </c>
      <c r="K1283" t="inlineStr">
        <is>
          <t xml:space="preserve">Бангладеш</t>
        </is>
      </c>
      <c r="L1283" t="inlineStr">
        <is>
          <t xml:space="preserve">6203429000</t>
        </is>
      </c>
      <c r="M1283" t="inlineStr">
        <is>
          <t xml:space="preserve">Декларация № ЕАЭС № BY/112 11.01. ТР017 122.01 08246, до 19.04.2028</t>
        </is>
      </c>
      <c r="N1283" t="inlineStr">
        <is>
          <t xml:space="preserve">35 × 30 × 3</t>
        </is>
      </c>
      <c r="O1283" t="inlineStr">
        <is>
          <t xml:space="preserve">0,35</t>
        </is>
      </c>
      <c r="P1283" t="inlineStr">
        <is>
          <t xml:space="preserve">4816148105745</t>
        </is>
      </c>
      <c r="Q1283" s="3" t="str">
        <f>HYPERLINK("https://modify.by/img/149603629/1.webp","фото")</f>
        <v>фото</v>
      </c>
      <c r="R1283" s="3" t="str">
        <f>HYPERLINK("https://modify.by/catalog/shorty/149603629/?utm_source=price&amp;utm_medium=xlsx","открыть")</f>
        <v>открыть</v>
      </c>
    </row>
    <row r="1284">
      <c r="A1284" t="inlineStr">
        <is>
          <t xml:space="preserve">Мужской</t>
        </is>
      </c>
      <c r="B1284" t="inlineStr">
        <is>
          <t xml:space="preserve">Шорты</t>
        </is>
      </c>
      <c r="C1284" t="inlineStr">
        <is>
          <t xml:space="preserve">Шорты бермуды классические хлопок, черный</t>
        </is>
      </c>
      <c r="D1284" t="inlineStr">
        <is>
          <t xml:space="preserve">BE32M10Черный</t>
        </is>
      </c>
      <c r="E1284" t="inlineStr">
        <is>
          <t xml:space="preserve">черный</t>
        </is>
      </c>
      <c r="F1284" t="inlineStr">
        <is>
          <t xml:space="preserve">50</t>
        </is>
      </c>
      <c r="G1284">
        <v>16</v>
      </c>
      <c r="H1284" s="2">
        <v>31.0</v>
      </c>
      <c r="I1284" t="inlineStr">
        <is>
          <t xml:space="preserve">98% хлопок 2% эластан</t>
        </is>
      </c>
      <c r="J1284" t="inlineStr">
        <is>
          <t xml:space="preserve">лето</t>
        </is>
      </c>
      <c r="K1284" t="inlineStr">
        <is>
          <t xml:space="preserve">Бангладеш</t>
        </is>
      </c>
      <c r="L1284" t="inlineStr">
        <is>
          <t xml:space="preserve">6203429000</t>
        </is>
      </c>
      <c r="M1284" t="inlineStr">
        <is>
          <t xml:space="preserve">Декларация № ЕАЭС № BY/112 11.01. ТР017 122.01 08246, до 19.04.2028</t>
        </is>
      </c>
      <c r="N1284" t="inlineStr">
        <is>
          <t xml:space="preserve">35 × 30 × 3</t>
        </is>
      </c>
      <c r="O1284" t="inlineStr">
        <is>
          <t xml:space="preserve">0,35</t>
        </is>
      </c>
      <c r="P1284" t="inlineStr">
        <is>
          <t xml:space="preserve">2026620787754</t>
        </is>
      </c>
      <c r="Q1284" s="3" t="str">
        <f>HYPERLINK("https://modify.by/img/149603629/1.webp","фото")</f>
        <v>фото</v>
      </c>
      <c r="R1284" s="3" t="str">
        <f>HYPERLINK("https://modify.by/catalog/shorty/149603629/?utm_source=price&amp;utm_medium=xlsx","открыть")</f>
        <v>открыть</v>
      </c>
    </row>
    <row r="1285">
      <c r="A1285" t="inlineStr">
        <is>
          <t xml:space="preserve">Мужской</t>
        </is>
      </c>
      <c r="B1285" t="inlineStr">
        <is>
          <t xml:space="preserve">Шорты</t>
        </is>
      </c>
      <c r="C1285" t="inlineStr">
        <is>
          <t xml:space="preserve">Шорты бермуды классические хлопок, черный</t>
        </is>
      </c>
      <c r="D1285" t="inlineStr">
        <is>
          <t xml:space="preserve">BE32M10Черный</t>
        </is>
      </c>
      <c r="E1285" t="inlineStr">
        <is>
          <t xml:space="preserve">черный</t>
        </is>
      </c>
      <c r="F1285" t="inlineStr">
        <is>
          <t xml:space="preserve">50</t>
        </is>
      </c>
      <c r="G1285">
        <v>16</v>
      </c>
      <c r="H1285" s="2">
        <v>31.0</v>
      </c>
      <c r="I1285" t="inlineStr">
        <is>
          <t xml:space="preserve">98% хлопок 2% эластан</t>
        </is>
      </c>
      <c r="J1285" t="inlineStr">
        <is>
          <t xml:space="preserve">лето</t>
        </is>
      </c>
      <c r="K1285" t="inlineStr">
        <is>
          <t xml:space="preserve">Бангладеш</t>
        </is>
      </c>
      <c r="L1285" t="inlineStr">
        <is>
          <t xml:space="preserve">6203429000</t>
        </is>
      </c>
      <c r="M1285" t="inlineStr">
        <is>
          <t xml:space="preserve">Декларация № ЕАЭС № BY/112 11.01. ТР017 122.01 08246, до 19.04.2028</t>
        </is>
      </c>
      <c r="N1285" t="inlineStr">
        <is>
          <t xml:space="preserve">35 × 30 × 3</t>
        </is>
      </c>
      <c r="O1285" t="inlineStr">
        <is>
          <t xml:space="preserve">0,35</t>
        </is>
      </c>
      <c r="P1285" t="inlineStr">
        <is>
          <t xml:space="preserve">4816148105752</t>
        </is>
      </c>
      <c r="Q1285" s="3" t="str">
        <f>HYPERLINK("https://modify.by/img/149603629/1.webp","фото")</f>
        <v>фото</v>
      </c>
      <c r="R1285" s="3" t="str">
        <f>HYPERLINK("https://modify.by/catalog/shorty/149603629/?utm_source=price&amp;utm_medium=xlsx","открыть")</f>
        <v>открыть</v>
      </c>
    </row>
    <row r="1286">
      <c r="A1286" t="inlineStr">
        <is>
          <t xml:space="preserve">Мужской</t>
        </is>
      </c>
      <c r="B1286" t="inlineStr">
        <is>
          <t xml:space="preserve">Шорты</t>
        </is>
      </c>
      <c r="C1286" t="inlineStr">
        <is>
          <t xml:space="preserve">Шорты бермуды классические хлопок, черный</t>
        </is>
      </c>
      <c r="D1286" t="inlineStr">
        <is>
          <t xml:space="preserve">BE32M10Черный</t>
        </is>
      </c>
      <c r="E1286" t="inlineStr">
        <is>
          <t xml:space="preserve">черный</t>
        </is>
      </c>
      <c r="F1286" t="inlineStr">
        <is>
          <t xml:space="preserve">52</t>
        </is>
      </c>
      <c r="G1286">
        <v>55</v>
      </c>
      <c r="H1286" s="2">
        <v>31.0</v>
      </c>
      <c r="I1286" t="inlineStr">
        <is>
          <t xml:space="preserve">98% хлопок 2% эластан</t>
        </is>
      </c>
      <c r="J1286" t="inlineStr">
        <is>
          <t xml:space="preserve">лето</t>
        </is>
      </c>
      <c r="K1286" t="inlineStr">
        <is>
          <t xml:space="preserve">Бангладеш</t>
        </is>
      </c>
      <c r="L1286" t="inlineStr">
        <is>
          <t xml:space="preserve">6203429000</t>
        </is>
      </c>
      <c r="M1286" t="inlineStr">
        <is>
          <t xml:space="preserve">Декларация № ЕАЭС № BY/112 11.01. ТР017 122.01 08246, до 19.04.2028</t>
        </is>
      </c>
      <c r="N1286" t="inlineStr">
        <is>
          <t xml:space="preserve">35 × 30 × 3</t>
        </is>
      </c>
      <c r="O1286" t="inlineStr">
        <is>
          <t xml:space="preserve">0,35</t>
        </is>
      </c>
      <c r="P1286" t="inlineStr">
        <is>
          <t xml:space="preserve">2026620787747</t>
        </is>
      </c>
      <c r="Q1286" s="3" t="str">
        <f>HYPERLINK("https://modify.by/img/149603629/1.webp","фото")</f>
        <v>фото</v>
      </c>
      <c r="R1286" s="3" t="str">
        <f>HYPERLINK("https://modify.by/catalog/shorty/149603629/?utm_source=price&amp;utm_medium=xlsx","открыть")</f>
        <v>открыть</v>
      </c>
    </row>
    <row r="1287">
      <c r="A1287" t="inlineStr">
        <is>
          <t xml:space="preserve">Мужской</t>
        </is>
      </c>
      <c r="B1287" t="inlineStr">
        <is>
          <t xml:space="preserve">Шорты</t>
        </is>
      </c>
      <c r="C1287" t="inlineStr">
        <is>
          <t xml:space="preserve">Шорты бермуды классические хлопок, черный</t>
        </is>
      </c>
      <c r="D1287" t="inlineStr">
        <is>
          <t xml:space="preserve">BE32M10Черный</t>
        </is>
      </c>
      <c r="E1287" t="inlineStr">
        <is>
          <t xml:space="preserve">черный</t>
        </is>
      </c>
      <c r="F1287" t="inlineStr">
        <is>
          <t xml:space="preserve">52</t>
        </is>
      </c>
      <c r="G1287">
        <v>55</v>
      </c>
      <c r="H1287" s="2">
        <v>31.0</v>
      </c>
      <c r="I1287" t="inlineStr">
        <is>
          <t xml:space="preserve">98% хлопок 2% эластан</t>
        </is>
      </c>
      <c r="J1287" t="inlineStr">
        <is>
          <t xml:space="preserve">лето</t>
        </is>
      </c>
      <c r="K1287" t="inlineStr">
        <is>
          <t xml:space="preserve">Бангладеш</t>
        </is>
      </c>
      <c r="L1287" t="inlineStr">
        <is>
          <t xml:space="preserve">6203429000</t>
        </is>
      </c>
      <c r="M1287" t="inlineStr">
        <is>
          <t xml:space="preserve">Декларация № ЕАЭС № BY/112 11.01. ТР017 122.01 08246, до 19.04.2028</t>
        </is>
      </c>
      <c r="N1287" t="inlineStr">
        <is>
          <t xml:space="preserve">35 × 30 × 3</t>
        </is>
      </c>
      <c r="O1287" t="inlineStr">
        <is>
          <t xml:space="preserve">0,35</t>
        </is>
      </c>
      <c r="P1287" t="inlineStr">
        <is>
          <t xml:space="preserve">4816148107022</t>
        </is>
      </c>
      <c r="Q1287" s="3" t="str">
        <f>HYPERLINK("https://modify.by/img/149603629/1.webp","фото")</f>
        <v>фото</v>
      </c>
      <c r="R1287" s="3" t="str">
        <f>HYPERLINK("https://modify.by/catalog/shorty/149603629/?utm_source=price&amp;utm_medium=xlsx","открыть")</f>
        <v>открыть</v>
      </c>
    </row>
    <row r="1288">
      <c r="A1288" t="inlineStr">
        <is>
          <t xml:space="preserve">Мужской</t>
        </is>
      </c>
      <c r="B1288" t="inlineStr">
        <is>
          <t xml:space="preserve">Шорты</t>
        </is>
      </c>
      <c r="C1288" t="inlineStr">
        <is>
          <t xml:space="preserve">Шорты бермуды классические хлопок, черный</t>
        </is>
      </c>
      <c r="D1288" t="inlineStr">
        <is>
          <t xml:space="preserve">BE32M10Черный</t>
        </is>
      </c>
      <c r="E1288" t="inlineStr">
        <is>
          <t xml:space="preserve">черный</t>
        </is>
      </c>
      <c r="F1288" t="inlineStr">
        <is>
          <t xml:space="preserve">54</t>
        </is>
      </c>
      <c r="G1288">
        <v>11</v>
      </c>
      <c r="H1288" s="2">
        <v>31.0</v>
      </c>
      <c r="I1288" t="inlineStr">
        <is>
          <t xml:space="preserve">98% хлопок 2% эластан</t>
        </is>
      </c>
      <c r="J1288" t="inlineStr">
        <is>
          <t xml:space="preserve">лето</t>
        </is>
      </c>
      <c r="K1288" t="inlineStr">
        <is>
          <t xml:space="preserve">Бангладеш</t>
        </is>
      </c>
      <c r="L1288" t="inlineStr">
        <is>
          <t xml:space="preserve">6203429000</t>
        </is>
      </c>
      <c r="M1288" t="inlineStr">
        <is>
          <t xml:space="preserve">Декларация № ЕАЭС № BY/112 11.01. ТР017 122.01 08246, до 19.04.2028</t>
        </is>
      </c>
      <c r="N1288" t="inlineStr">
        <is>
          <t xml:space="preserve">35 × 30 × 3</t>
        </is>
      </c>
      <c r="O1288" t="inlineStr">
        <is>
          <t xml:space="preserve">0,35</t>
        </is>
      </c>
      <c r="P1288" t="inlineStr">
        <is>
          <t xml:space="preserve">2026620787730</t>
        </is>
      </c>
      <c r="Q1288" s="3" t="str">
        <f>HYPERLINK("https://modify.by/img/149603629/1.webp","фото")</f>
        <v>фото</v>
      </c>
      <c r="R1288" s="3" t="str">
        <f>HYPERLINK("https://modify.by/catalog/shorty/149603629/?utm_source=price&amp;utm_medium=xlsx","открыть")</f>
        <v>открыть</v>
      </c>
    </row>
    <row r="1289">
      <c r="A1289" t="inlineStr">
        <is>
          <t xml:space="preserve">Мужской</t>
        </is>
      </c>
      <c r="B1289" t="inlineStr">
        <is>
          <t xml:space="preserve">Шорты</t>
        </is>
      </c>
      <c r="C1289" t="inlineStr">
        <is>
          <t xml:space="preserve">Шорты бермуды классические хлопок, черный</t>
        </is>
      </c>
      <c r="D1289" t="inlineStr">
        <is>
          <t xml:space="preserve">BE32M10Черный</t>
        </is>
      </c>
      <c r="E1289" t="inlineStr">
        <is>
          <t xml:space="preserve">черный</t>
        </is>
      </c>
      <c r="F1289" t="inlineStr">
        <is>
          <t xml:space="preserve">54</t>
        </is>
      </c>
      <c r="G1289">
        <v>11</v>
      </c>
      <c r="H1289" s="2">
        <v>31.0</v>
      </c>
      <c r="I1289" t="inlineStr">
        <is>
          <t xml:space="preserve">98% хлопок 2% эластан</t>
        </is>
      </c>
      <c r="J1289" t="inlineStr">
        <is>
          <t xml:space="preserve">лето</t>
        </is>
      </c>
      <c r="K1289" t="inlineStr">
        <is>
          <t xml:space="preserve">Бангладеш</t>
        </is>
      </c>
      <c r="L1289" t="inlineStr">
        <is>
          <t xml:space="preserve">6203429000</t>
        </is>
      </c>
      <c r="M1289" t="inlineStr">
        <is>
          <t xml:space="preserve">Декларация № ЕАЭС № BY/112 11.01. ТР017 122.01 08246, до 19.04.2028</t>
        </is>
      </c>
      <c r="N1289" t="inlineStr">
        <is>
          <t xml:space="preserve">35 × 30 × 3</t>
        </is>
      </c>
      <c r="O1289" t="inlineStr">
        <is>
          <t xml:space="preserve">0,35</t>
        </is>
      </c>
      <c r="P1289" t="inlineStr">
        <is>
          <t xml:space="preserve">4816148107039</t>
        </is>
      </c>
      <c r="Q1289" s="3" t="str">
        <f>HYPERLINK("https://modify.by/img/149603629/1.webp","фото")</f>
        <v>фото</v>
      </c>
      <c r="R1289" s="3" t="str">
        <f>HYPERLINK("https://modify.by/catalog/shorty/149603629/?utm_source=price&amp;utm_medium=xlsx","открыть")</f>
        <v>открыть</v>
      </c>
    </row>
    <row r="1290">
      <c r="A1290" t="inlineStr">
        <is>
          <t xml:space="preserve">Мужской</t>
        </is>
      </c>
      <c r="B1290" t="inlineStr">
        <is>
          <t xml:space="preserve">Шорты</t>
        </is>
      </c>
      <c r="C1290" t="inlineStr">
        <is>
          <t xml:space="preserve">Шорты бермуды классические хлопок, шоколадно-коричневый</t>
        </is>
      </c>
      <c r="D1290" t="inlineStr">
        <is>
          <t xml:space="preserve">BE62M02_шоколад</t>
        </is>
      </c>
      <c r="E1290" t="inlineStr">
        <is>
          <t xml:space="preserve">шоколадно-коричневый</t>
        </is>
      </c>
      <c r="F1290" t="inlineStr">
        <is>
          <t xml:space="preserve">50-52</t>
        </is>
      </c>
      <c r="G1290">
        <v>1</v>
      </c>
      <c r="H1290" s="2">
        <v>29.0</v>
      </c>
      <c r="I1290" t="inlineStr">
        <is>
          <t xml:space="preserve">100% премиум хлопок</t>
        </is>
      </c>
      <c r="J1290" t="inlineStr">
        <is>
          <t xml:space="preserve">лето</t>
        </is>
      </c>
      <c r="K1290" t="inlineStr">
        <is>
          <t xml:space="preserve">Бангладеш</t>
        </is>
      </c>
      <c r="L1290" t="inlineStr">
        <is>
          <t xml:space="preserve">6203429000</t>
        </is>
      </c>
      <c r="M1290" t="inlineStr">
        <is>
          <t xml:space="preserve">Декларация № ЕАЭС № BY/112 11.01. ТР017 122.01 08246, до 19.04.2028</t>
        </is>
      </c>
      <c r="N1290" t="inlineStr">
        <is>
          <t xml:space="preserve">21 × 15 × 5</t>
        </is>
      </c>
      <c r="O1290" t="inlineStr">
        <is>
          <t xml:space="preserve">0,3</t>
        </is>
      </c>
      <c r="P1290" t="inlineStr">
        <is>
          <t xml:space="preserve">4816148185174</t>
        </is>
      </c>
      <c r="Q1290" s="3" t="str">
        <f>HYPERLINK("https://modify.by/img/1208386233/1.webp","фото")</f>
        <v>фото</v>
      </c>
      <c r="R1290" s="3" t="str">
        <f>HYPERLINK("https://modify.by/catalog/shorty/1208386233/?utm_source=price&amp;utm_medium=xlsx","открыть")</f>
        <v>открыть</v>
      </c>
    </row>
    <row r="1291">
      <c r="A1291" t="inlineStr">
        <is>
          <t xml:space="preserve">Мужской</t>
        </is>
      </c>
      <c r="B1291" t="inlineStr">
        <is>
          <t xml:space="preserve">Шорты</t>
        </is>
      </c>
      <c r="C1291" t="inlineStr">
        <is>
          <t xml:space="preserve">Шорты бермуды премиум качества большие размеры</t>
        </is>
      </c>
      <c r="D1291" t="inlineStr">
        <is>
          <t xml:space="preserve">BE32M09Черный</t>
        </is>
      </c>
      <c r="E1291" t="inlineStr">
        <is>
          <t xml:space="preserve">черный</t>
        </is>
      </c>
      <c r="F1291" t="inlineStr">
        <is>
          <t xml:space="preserve">50</t>
        </is>
      </c>
      <c r="G1291">
        <v>29</v>
      </c>
      <c r="H1291" s="2">
        <v>32.0</v>
      </c>
      <c r="I1291" t="inlineStr">
        <is>
          <t xml:space="preserve">98% хлопок 2% эластан</t>
        </is>
      </c>
      <c r="J1291"/>
      <c r="K1291" t="inlineStr">
        <is>
          <t xml:space="preserve">Бангладеш</t>
        </is>
      </c>
      <c r="L1291" t="inlineStr">
        <is>
          <t xml:space="preserve">6203429000</t>
        </is>
      </c>
      <c r="M1291" t="inlineStr">
        <is>
          <t xml:space="preserve">Декларация № ЕАЭС № BY/112 11.01. ТР017 122.01 08246, до 19.04.2028</t>
        </is>
      </c>
      <c r="N1291" t="inlineStr">
        <is>
          <t xml:space="preserve">35 × 30 × 4</t>
        </is>
      </c>
      <c r="O1291" t="inlineStr">
        <is>
          <t xml:space="preserve">0,35</t>
        </is>
      </c>
      <c r="P1291" t="inlineStr">
        <is>
          <t xml:space="preserve">2026620784531</t>
        </is>
      </c>
      <c r="Q1291" s="3" t="str">
        <f>HYPERLINK("https://modify.by/img/149603617/1.webp","фото")</f>
        <v>фото</v>
      </c>
      <c r="R1291" s="3" t="str">
        <f>HYPERLINK("https://modify.by/catalog/shorty/149603617/?utm_source=price&amp;utm_medium=xlsx","открыть")</f>
        <v>открыть</v>
      </c>
    </row>
    <row r="1292">
      <c r="A1292" t="inlineStr">
        <is>
          <t xml:space="preserve">Мужской</t>
        </is>
      </c>
      <c r="B1292" t="inlineStr">
        <is>
          <t xml:space="preserve">Шорты</t>
        </is>
      </c>
      <c r="C1292" t="inlineStr">
        <is>
          <t xml:space="preserve">Шорты бермуды премиум качества большие размеры</t>
        </is>
      </c>
      <c r="D1292" t="inlineStr">
        <is>
          <t xml:space="preserve">BE32M09Черный</t>
        </is>
      </c>
      <c r="E1292" t="inlineStr">
        <is>
          <t xml:space="preserve">черный</t>
        </is>
      </c>
      <c r="F1292" t="inlineStr">
        <is>
          <t xml:space="preserve">50</t>
        </is>
      </c>
      <c r="G1292">
        <v>29</v>
      </c>
      <c r="H1292" s="2">
        <v>32.0</v>
      </c>
      <c r="I1292" t="inlineStr">
        <is>
          <t xml:space="preserve">98% хлопок 2% эластан</t>
        </is>
      </c>
      <c r="J1292"/>
      <c r="K1292" t="inlineStr">
        <is>
          <t xml:space="preserve">Бангладеш</t>
        </is>
      </c>
      <c r="L1292" t="inlineStr">
        <is>
          <t xml:space="preserve">6203429000</t>
        </is>
      </c>
      <c r="M1292" t="inlineStr">
        <is>
          <t xml:space="preserve">Декларация № ЕАЭС № BY/112 11.01. ТР017 122.01 08246, до 19.04.2028</t>
        </is>
      </c>
      <c r="N1292" t="inlineStr">
        <is>
          <t xml:space="preserve">35 × 30 × 4</t>
        </is>
      </c>
      <c r="O1292" t="inlineStr">
        <is>
          <t xml:space="preserve">0,35</t>
        </is>
      </c>
      <c r="P1292" t="inlineStr">
        <is>
          <t xml:space="preserve">4816148105738</t>
        </is>
      </c>
      <c r="Q1292" s="3" t="str">
        <f>HYPERLINK("https://modify.by/img/149603617/1.webp","фото")</f>
        <v>фото</v>
      </c>
      <c r="R1292" s="3" t="str">
        <f>HYPERLINK("https://modify.by/catalog/shorty/149603617/?utm_source=price&amp;utm_medium=xlsx","открыть")</f>
        <v>открыть</v>
      </c>
    </row>
    <row r="1293">
      <c r="A1293" t="inlineStr">
        <is>
          <t xml:space="preserve">Мужской</t>
        </is>
      </c>
      <c r="B1293" t="inlineStr">
        <is>
          <t xml:space="preserve">Шорты</t>
        </is>
      </c>
      <c r="C1293" t="inlineStr">
        <is>
          <t xml:space="preserve">Шорты бермуды премиум качества большие размеры</t>
        </is>
      </c>
      <c r="D1293" t="inlineStr">
        <is>
          <t xml:space="preserve">BE32M09Черный</t>
        </is>
      </c>
      <c r="E1293" t="inlineStr">
        <is>
          <t xml:space="preserve">черный</t>
        </is>
      </c>
      <c r="F1293" t="inlineStr">
        <is>
          <t xml:space="preserve">52</t>
        </is>
      </c>
      <c r="G1293">
        <v>38</v>
      </c>
      <c r="H1293" s="2">
        <v>32.0</v>
      </c>
      <c r="I1293" t="inlineStr">
        <is>
          <t xml:space="preserve">98% хлопок 2% эластан</t>
        </is>
      </c>
      <c r="J1293"/>
      <c r="K1293" t="inlineStr">
        <is>
          <t xml:space="preserve">Бангладеш</t>
        </is>
      </c>
      <c r="L1293" t="inlineStr">
        <is>
          <t xml:space="preserve">6203429000</t>
        </is>
      </c>
      <c r="M1293" t="inlineStr">
        <is>
          <t xml:space="preserve">Декларация № ЕАЭС № BY/112 11.01. ТР017 122.01 08246, до 19.04.2028</t>
        </is>
      </c>
      <c r="N1293" t="inlineStr">
        <is>
          <t xml:space="preserve">35 × 30 × 4</t>
        </is>
      </c>
      <c r="O1293" t="inlineStr">
        <is>
          <t xml:space="preserve">0,35</t>
        </is>
      </c>
      <c r="P1293" t="inlineStr">
        <is>
          <t xml:space="preserve">2026620784524</t>
        </is>
      </c>
      <c r="Q1293" s="3" t="str">
        <f>HYPERLINK("https://modify.by/img/149603617/1.webp","фото")</f>
        <v>фото</v>
      </c>
      <c r="R1293" s="3" t="str">
        <f>HYPERLINK("https://modify.by/catalog/shorty/149603617/?utm_source=price&amp;utm_medium=xlsx","открыть")</f>
        <v>открыть</v>
      </c>
    </row>
    <row r="1294">
      <c r="A1294" t="inlineStr">
        <is>
          <t xml:space="preserve">Мужской</t>
        </is>
      </c>
      <c r="B1294" t="inlineStr">
        <is>
          <t xml:space="preserve">Шорты</t>
        </is>
      </c>
      <c r="C1294" t="inlineStr">
        <is>
          <t xml:space="preserve">Шорты бермуды премиум качества большие размеры</t>
        </is>
      </c>
      <c r="D1294" t="inlineStr">
        <is>
          <t xml:space="preserve">BE32M09Черный</t>
        </is>
      </c>
      <c r="E1294" t="inlineStr">
        <is>
          <t xml:space="preserve">черный</t>
        </is>
      </c>
      <c r="F1294" t="inlineStr">
        <is>
          <t xml:space="preserve">52</t>
        </is>
      </c>
      <c r="G1294">
        <v>38</v>
      </c>
      <c r="H1294" s="2">
        <v>32.0</v>
      </c>
      <c r="I1294" t="inlineStr">
        <is>
          <t xml:space="preserve">98% хлопок 2% эластан</t>
        </is>
      </c>
      <c r="J1294"/>
      <c r="K1294" t="inlineStr">
        <is>
          <t xml:space="preserve">Бангладеш</t>
        </is>
      </c>
      <c r="L1294" t="inlineStr">
        <is>
          <t xml:space="preserve">6203429000</t>
        </is>
      </c>
      <c r="M1294" t="inlineStr">
        <is>
          <t xml:space="preserve">Декларация № ЕАЭС № BY/112 11.01. ТР017 122.01 08246, до 19.04.2028</t>
        </is>
      </c>
      <c r="N1294" t="inlineStr">
        <is>
          <t xml:space="preserve">35 × 30 × 4</t>
        </is>
      </c>
      <c r="O1294" t="inlineStr">
        <is>
          <t xml:space="preserve">0,35</t>
        </is>
      </c>
      <c r="P1294" t="inlineStr">
        <is>
          <t xml:space="preserve">4816148108463</t>
        </is>
      </c>
      <c r="Q1294" s="3" t="str">
        <f>HYPERLINK("https://modify.by/img/149603617/1.webp","фото")</f>
        <v>фото</v>
      </c>
      <c r="R1294" s="3" t="str">
        <f>HYPERLINK("https://modify.by/catalog/shorty/149603617/?utm_source=price&amp;utm_medium=xlsx","открыть")</f>
        <v>открыть</v>
      </c>
    </row>
    <row r="1295">
      <c r="A1295" t="inlineStr">
        <is>
          <t xml:space="preserve">Мужской</t>
        </is>
      </c>
      <c r="B1295" t="inlineStr">
        <is>
          <t xml:space="preserve">Шорты</t>
        </is>
      </c>
      <c r="C1295" t="inlineStr">
        <is>
          <t xml:space="preserve">Шорты бермуды премиум качества большие размеры</t>
        </is>
      </c>
      <c r="D1295" t="inlineStr">
        <is>
          <t xml:space="preserve">BE32M09Черный</t>
        </is>
      </c>
      <c r="E1295" t="inlineStr">
        <is>
          <t xml:space="preserve">черный</t>
        </is>
      </c>
      <c r="F1295" t="inlineStr">
        <is>
          <t xml:space="preserve">54</t>
        </is>
      </c>
      <c r="G1295">
        <v>40</v>
      </c>
      <c r="H1295" s="2">
        <v>32.0</v>
      </c>
      <c r="I1295" t="inlineStr">
        <is>
          <t xml:space="preserve">98% хлопок 2% эластан</t>
        </is>
      </c>
      <c r="J1295"/>
      <c r="K1295" t="inlineStr">
        <is>
          <t xml:space="preserve">Бангладеш</t>
        </is>
      </c>
      <c r="L1295" t="inlineStr">
        <is>
          <t xml:space="preserve">6203429000</t>
        </is>
      </c>
      <c r="M1295" t="inlineStr">
        <is>
          <t xml:space="preserve">Декларация № ЕАЭС № BY/112 11.01. ТР017 122.01 08246, до 19.04.2028</t>
        </is>
      </c>
      <c r="N1295" t="inlineStr">
        <is>
          <t xml:space="preserve">35 × 30 × 4</t>
        </is>
      </c>
      <c r="O1295" t="inlineStr">
        <is>
          <t xml:space="preserve">0,35</t>
        </is>
      </c>
      <c r="P1295" t="inlineStr">
        <is>
          <t xml:space="preserve">2026620784517</t>
        </is>
      </c>
      <c r="Q1295" s="3" t="str">
        <f>HYPERLINK("https://modify.by/img/149603617/1.webp","фото")</f>
        <v>фото</v>
      </c>
      <c r="R1295" s="3" t="str">
        <f>HYPERLINK("https://modify.by/catalog/shorty/149603617/?utm_source=price&amp;utm_medium=xlsx","открыть")</f>
        <v>открыть</v>
      </c>
    </row>
    <row r="1296">
      <c r="A1296" t="inlineStr">
        <is>
          <t xml:space="preserve">Мужской</t>
        </is>
      </c>
      <c r="B1296" t="inlineStr">
        <is>
          <t xml:space="preserve">Шорты</t>
        </is>
      </c>
      <c r="C1296" t="inlineStr">
        <is>
          <t xml:space="preserve">Шорты бермуды премиум качества большие размеры</t>
        </is>
      </c>
      <c r="D1296" t="inlineStr">
        <is>
          <t xml:space="preserve">BE32M09Черный</t>
        </is>
      </c>
      <c r="E1296" t="inlineStr">
        <is>
          <t xml:space="preserve">черный</t>
        </is>
      </c>
      <c r="F1296" t="inlineStr">
        <is>
          <t xml:space="preserve">54</t>
        </is>
      </c>
      <c r="G1296">
        <v>40</v>
      </c>
      <c r="H1296" s="2">
        <v>32.0</v>
      </c>
      <c r="I1296" t="inlineStr">
        <is>
          <t xml:space="preserve">98% хлопок 2% эластан</t>
        </is>
      </c>
      <c r="J1296"/>
      <c r="K1296" t="inlineStr">
        <is>
          <t xml:space="preserve">Бангладеш</t>
        </is>
      </c>
      <c r="L1296" t="inlineStr">
        <is>
          <t xml:space="preserve">6203429000</t>
        </is>
      </c>
      <c r="M1296" t="inlineStr">
        <is>
          <t xml:space="preserve">Декларация № ЕАЭС № BY/112 11.01. ТР017 122.01 08246, до 19.04.2028</t>
        </is>
      </c>
      <c r="N1296" t="inlineStr">
        <is>
          <t xml:space="preserve">35 × 30 × 4</t>
        </is>
      </c>
      <c r="O1296" t="inlineStr">
        <is>
          <t xml:space="preserve">0,35</t>
        </is>
      </c>
      <c r="P1296" t="inlineStr">
        <is>
          <t xml:space="preserve">4816148108470</t>
        </is>
      </c>
      <c r="Q1296" s="3" t="str">
        <f>HYPERLINK("https://modify.by/img/149603617/1.webp","фото")</f>
        <v>фото</v>
      </c>
      <c r="R1296" s="3" t="str">
        <f>HYPERLINK("https://modify.by/catalog/shorty/149603617/?utm_source=price&amp;utm_medium=xlsx","открыть")</f>
        <v>открыть</v>
      </c>
    </row>
    <row r="1297">
      <c r="A1297" t="inlineStr">
        <is>
          <t xml:space="preserve">Мужской</t>
        </is>
      </c>
      <c r="B1297" t="inlineStr">
        <is>
          <t xml:space="preserve">Шорты</t>
        </is>
      </c>
      <c r="C1297" t="inlineStr">
        <is>
          <t xml:space="preserve">Шорты бермуды свободного кроя под лен</t>
        </is>
      </c>
      <c r="D1297" t="inlineStr">
        <is>
          <t xml:space="preserve">BE42M03темно-синий меланж</t>
        </is>
      </c>
      <c r="E1297" t="inlineStr">
        <is>
          <t xml:space="preserve">темный синий меланж</t>
        </is>
      </c>
      <c r="F1297" t="inlineStr">
        <is>
          <t xml:space="preserve">46</t>
        </is>
      </c>
      <c r="G1297">
        <v>3</v>
      </c>
      <c r="H1297" s="2">
        <v>32.0</v>
      </c>
      <c r="I1297" t="inlineStr">
        <is>
          <t xml:space="preserve">хлопок, вискоза</t>
        </is>
      </c>
      <c r="J1297"/>
      <c r="K1297" t="inlineStr">
        <is>
          <t xml:space="preserve">Бангладеш</t>
        </is>
      </c>
      <c r="L1297" t="inlineStr">
        <is>
          <t xml:space="preserve">6203429000</t>
        </is>
      </c>
      <c r="M1297" t="inlineStr">
        <is>
          <t xml:space="preserve">Декларация № ЕАЭС № BY/112 11.01. ТР017 122.01 08246, до 19.04.2028</t>
        </is>
      </c>
      <c r="N1297" t="inlineStr">
        <is>
          <t xml:space="preserve">33 × 25 × 2</t>
        </is>
      </c>
      <c r="O1297" t="inlineStr">
        <is>
          <t xml:space="preserve">0,25</t>
        </is>
      </c>
      <c r="P1297" t="inlineStr">
        <is>
          <t xml:space="preserve">4816148107299</t>
        </is>
      </c>
      <c r="Q1297" s="3" t="str">
        <f>HYPERLINK("https://modify.by/img/243058399/1.webp","фото")</f>
        <v>фото</v>
      </c>
      <c r="R1297" s="3" t="str">
        <f>HYPERLINK("https://modify.by/catalog/shorty/243058399/?utm_source=price&amp;utm_medium=xlsx","открыть")</f>
        <v>открыть</v>
      </c>
    </row>
    <row r="1298">
      <c r="A1298" t="inlineStr">
        <is>
          <t xml:space="preserve">Мужской</t>
        </is>
      </c>
      <c r="B1298" t="inlineStr">
        <is>
          <t xml:space="preserve">Шорты</t>
        </is>
      </c>
      <c r="C1298" t="inlineStr">
        <is>
          <t xml:space="preserve">Шорты бермуды свободного кроя под лен</t>
        </is>
      </c>
      <c r="D1298" t="inlineStr">
        <is>
          <t xml:space="preserve">BE42M03темно-синий меланж</t>
        </is>
      </c>
      <c r="E1298" t="inlineStr">
        <is>
          <t xml:space="preserve">темный синий меланж</t>
        </is>
      </c>
      <c r="F1298" t="inlineStr">
        <is>
          <t xml:space="preserve">48</t>
        </is>
      </c>
      <c r="G1298">
        <v>25</v>
      </c>
      <c r="H1298" s="2">
        <v>32.0</v>
      </c>
      <c r="I1298" t="inlineStr">
        <is>
          <t xml:space="preserve">хлопок, вискоза</t>
        </is>
      </c>
      <c r="J1298"/>
      <c r="K1298" t="inlineStr">
        <is>
          <t xml:space="preserve">Бангладеш</t>
        </is>
      </c>
      <c r="L1298" t="inlineStr">
        <is>
          <t xml:space="preserve">6203429000</t>
        </is>
      </c>
      <c r="M1298" t="inlineStr">
        <is>
          <t xml:space="preserve">Декларация № ЕАЭС № BY/112 11.01. ТР017 122.01 08246, до 19.04.2028</t>
        </is>
      </c>
      <c r="N1298" t="inlineStr">
        <is>
          <t xml:space="preserve">33 × 25 × 2</t>
        </is>
      </c>
      <c r="O1298" t="inlineStr">
        <is>
          <t xml:space="preserve">0,25</t>
        </is>
      </c>
      <c r="P1298" t="inlineStr">
        <is>
          <t xml:space="preserve">4816148107305</t>
        </is>
      </c>
      <c r="Q1298" s="3" t="str">
        <f>HYPERLINK("https://modify.by/img/243058399/1.webp","фото")</f>
        <v>фото</v>
      </c>
      <c r="R1298" s="3" t="str">
        <f>HYPERLINK("https://modify.by/catalog/shorty/243058399/?utm_source=price&amp;utm_medium=xlsx","открыть")</f>
        <v>открыть</v>
      </c>
    </row>
    <row r="1299">
      <c r="A1299" t="inlineStr">
        <is>
          <t xml:space="preserve">Мужской</t>
        </is>
      </c>
      <c r="B1299" t="inlineStr">
        <is>
          <t xml:space="preserve">Шорты</t>
        </is>
      </c>
      <c r="C1299" t="inlineStr">
        <is>
          <t xml:space="preserve">Шорты бермуды свободного кроя под лен</t>
        </is>
      </c>
      <c r="D1299" t="inlineStr">
        <is>
          <t xml:space="preserve">BE42M03темно-синий меланж</t>
        </is>
      </c>
      <c r="E1299" t="inlineStr">
        <is>
          <t xml:space="preserve">темный синий меланж</t>
        </is>
      </c>
      <c r="F1299" t="inlineStr">
        <is>
          <t xml:space="preserve">50</t>
        </is>
      </c>
      <c r="G1299">
        <v>30</v>
      </c>
      <c r="H1299" s="2">
        <v>32.0</v>
      </c>
      <c r="I1299" t="inlineStr">
        <is>
          <t xml:space="preserve">хлопок, вискоза</t>
        </is>
      </c>
      <c r="J1299"/>
      <c r="K1299" t="inlineStr">
        <is>
          <t xml:space="preserve">Бангладеш</t>
        </is>
      </c>
      <c r="L1299" t="inlineStr">
        <is>
          <t xml:space="preserve">6203429000</t>
        </is>
      </c>
      <c r="M1299" t="inlineStr">
        <is>
          <t xml:space="preserve">Декларация № ЕАЭС № BY/112 11.01. ТР017 122.01 08246, до 19.04.2028</t>
        </is>
      </c>
      <c r="N1299" t="inlineStr">
        <is>
          <t xml:space="preserve">33 × 25 × 2</t>
        </is>
      </c>
      <c r="O1299" t="inlineStr">
        <is>
          <t xml:space="preserve">0,25</t>
        </is>
      </c>
      <c r="P1299" t="inlineStr">
        <is>
          <t xml:space="preserve">4816148107312</t>
        </is>
      </c>
      <c r="Q1299" s="3" t="str">
        <f>HYPERLINK("https://modify.by/img/243058399/1.webp","фото")</f>
        <v>фото</v>
      </c>
      <c r="R1299" s="3" t="str">
        <f>HYPERLINK("https://modify.by/catalog/shorty/243058399/?utm_source=price&amp;utm_medium=xlsx","открыть")</f>
        <v>открыть</v>
      </c>
    </row>
    <row r="1300">
      <c r="A1300" t="inlineStr">
        <is>
          <t xml:space="preserve">Мужской</t>
        </is>
      </c>
      <c r="B1300" t="inlineStr">
        <is>
          <t xml:space="preserve">Шорты</t>
        </is>
      </c>
      <c r="C1300" t="inlineStr">
        <is>
          <t xml:space="preserve">Шорты бермуды хлопковые больших размеров, мятный</t>
        </is>
      </c>
      <c r="D1300" t="inlineStr">
        <is>
          <t xml:space="preserve">BE62M01_светлая_мята</t>
        </is>
      </c>
      <c r="E1300" t="inlineStr">
        <is>
          <t xml:space="preserve">мятный</t>
        </is>
      </c>
      <c r="F1300" t="inlineStr">
        <is>
          <t xml:space="preserve">50</t>
        </is>
      </c>
      <c r="G1300">
        <v>7</v>
      </c>
      <c r="H1300" s="2">
        <v>33.0</v>
      </c>
      <c r="I1300" t="inlineStr">
        <is>
          <t xml:space="preserve">Хлопок 98%, Спандекс 2%</t>
        </is>
      </c>
      <c r="J1300" t="inlineStr">
        <is>
          <t xml:space="preserve">лето</t>
        </is>
      </c>
      <c r="K1300" t="inlineStr">
        <is>
          <t xml:space="preserve">Бангладеш</t>
        </is>
      </c>
      <c r="L1300" t="inlineStr">
        <is>
          <t xml:space="preserve">6203429000</t>
        </is>
      </c>
      <c r="M1300" t="inlineStr">
        <is>
          <t xml:space="preserve">Декларация № ЕАЭС № BY/112 11.01. ТР017 122.01 08246, до 19.04.2028</t>
        </is>
      </c>
      <c r="N1300" t="inlineStr">
        <is>
          <t xml:space="preserve">20 × 16 × 6</t>
        </is>
      </c>
      <c r="O1300" t="inlineStr">
        <is>
          <t xml:space="preserve">0,35</t>
        </is>
      </c>
      <c r="P1300" t="inlineStr">
        <is>
          <t xml:space="preserve">4816148184610</t>
        </is>
      </c>
      <c r="Q1300" s="3" t="str">
        <f>HYPERLINK("https://modify.by/img/1152960812/1.webp","фото")</f>
        <v>фото</v>
      </c>
      <c r="R1300" s="3" t="str">
        <f>HYPERLINK("https://modify.by/catalog/shorty/1152960812/?utm_source=price&amp;utm_medium=xlsx","открыть")</f>
        <v>открыть</v>
      </c>
    </row>
    <row r="1301">
      <c r="A1301" t="inlineStr">
        <is>
          <t xml:space="preserve">Мужской</t>
        </is>
      </c>
      <c r="B1301" t="inlineStr">
        <is>
          <t xml:space="preserve">Шорты</t>
        </is>
      </c>
      <c r="C1301" t="inlineStr">
        <is>
          <t xml:space="preserve">Шорты бермуды хлопковые больших размеров, мятный</t>
        </is>
      </c>
      <c r="D1301" t="inlineStr">
        <is>
          <t xml:space="preserve">BE62M01_светлая_мята</t>
        </is>
      </c>
      <c r="E1301" t="inlineStr">
        <is>
          <t xml:space="preserve">мятный</t>
        </is>
      </c>
      <c r="F1301" t="inlineStr">
        <is>
          <t xml:space="preserve">52</t>
        </is>
      </c>
      <c r="G1301">
        <v>40</v>
      </c>
      <c r="H1301" s="2">
        <v>33.0</v>
      </c>
      <c r="I1301" t="inlineStr">
        <is>
          <t xml:space="preserve">Хлопок 98%, Спандекс 2%</t>
        </is>
      </c>
      <c r="J1301" t="inlineStr">
        <is>
          <t xml:space="preserve">лето</t>
        </is>
      </c>
      <c r="K1301" t="inlineStr">
        <is>
          <t xml:space="preserve">Бангладеш</t>
        </is>
      </c>
      <c r="L1301" t="inlineStr">
        <is>
          <t xml:space="preserve">6203429000</t>
        </is>
      </c>
      <c r="M1301" t="inlineStr">
        <is>
          <t xml:space="preserve">Декларация № ЕАЭС № BY/112 11.01. ТР017 122.01 08246, до 19.04.2028</t>
        </is>
      </c>
      <c r="N1301" t="inlineStr">
        <is>
          <t xml:space="preserve">20 × 16 × 6</t>
        </is>
      </c>
      <c r="O1301" t="inlineStr">
        <is>
          <t xml:space="preserve">0,35</t>
        </is>
      </c>
      <c r="P1301" t="inlineStr">
        <is>
          <t xml:space="preserve">4816148184627</t>
        </is>
      </c>
      <c r="Q1301" s="3" t="str">
        <f>HYPERLINK("https://modify.by/img/1152960812/1.webp","фото")</f>
        <v>фото</v>
      </c>
      <c r="R1301" s="3" t="str">
        <f>HYPERLINK("https://modify.by/catalog/shorty/1152960812/?utm_source=price&amp;utm_medium=xlsx","открыть")</f>
        <v>открыть</v>
      </c>
    </row>
    <row r="1302">
      <c r="A1302" t="inlineStr">
        <is>
          <t xml:space="preserve">Мужской</t>
        </is>
      </c>
      <c r="B1302" t="inlineStr">
        <is>
          <t xml:space="preserve">Шорты</t>
        </is>
      </c>
      <c r="C1302" t="inlineStr">
        <is>
          <t xml:space="preserve">Шорты бермуды хлопковые больших размеров, мятный</t>
        </is>
      </c>
      <c r="D1302" t="inlineStr">
        <is>
          <t xml:space="preserve">BE62M01_светлая_мята</t>
        </is>
      </c>
      <c r="E1302" t="inlineStr">
        <is>
          <t xml:space="preserve">мятный</t>
        </is>
      </c>
      <c r="F1302" t="inlineStr">
        <is>
          <t xml:space="preserve">54-56</t>
        </is>
      </c>
      <c r="G1302">
        <v>34</v>
      </c>
      <c r="H1302" s="2">
        <v>33.0</v>
      </c>
      <c r="I1302" t="inlineStr">
        <is>
          <t xml:space="preserve">Хлопок 98%, Спандекс 2%</t>
        </is>
      </c>
      <c r="J1302" t="inlineStr">
        <is>
          <t xml:space="preserve">лето</t>
        </is>
      </c>
      <c r="K1302" t="inlineStr">
        <is>
          <t xml:space="preserve">Бангладеш</t>
        </is>
      </c>
      <c r="L1302" t="inlineStr">
        <is>
          <t xml:space="preserve">6203429000</t>
        </is>
      </c>
      <c r="M1302" t="inlineStr">
        <is>
          <t xml:space="preserve">Декларация № ЕАЭС № BY/112 11.01. ТР017 122.01 08246, до 19.04.2028</t>
        </is>
      </c>
      <c r="N1302" t="inlineStr">
        <is>
          <t xml:space="preserve">20 × 16 × 6</t>
        </is>
      </c>
      <c r="O1302" t="inlineStr">
        <is>
          <t xml:space="preserve">0,35</t>
        </is>
      </c>
      <c r="P1302" t="inlineStr">
        <is>
          <t xml:space="preserve">4816148184634</t>
        </is>
      </c>
      <c r="Q1302" s="3" t="str">
        <f>HYPERLINK("https://modify.by/img/1152960812/1.webp","фото")</f>
        <v>фото</v>
      </c>
      <c r="R1302" s="3" t="str">
        <f>HYPERLINK("https://modify.by/catalog/shorty/1152960812/?utm_source=price&amp;utm_medium=xlsx","открыть")</f>
        <v>открыть</v>
      </c>
    </row>
    <row r="1303">
      <c r="A1303" t="inlineStr">
        <is>
          <t xml:space="preserve">Мужской</t>
        </is>
      </c>
      <c r="B1303" t="inlineStr">
        <is>
          <t xml:space="preserve">Шорты</t>
        </is>
      </c>
      <c r="C1303" t="inlineStr">
        <is>
          <t xml:space="preserve">Шорты бермуды хлопковые больших размеров, темно-синий</t>
        </is>
      </c>
      <c r="D1303" t="inlineStr">
        <is>
          <t xml:space="preserve">BE62M01_темно-синий</t>
        </is>
      </c>
      <c r="E1303" t="inlineStr">
        <is>
          <t xml:space="preserve">темно-синий</t>
        </is>
      </c>
      <c r="F1303" t="inlineStr">
        <is>
          <t xml:space="preserve">50</t>
        </is>
      </c>
      <c r="G1303">
        <v>6</v>
      </c>
      <c r="H1303" s="2">
        <v>33.0</v>
      </c>
      <c r="I1303" t="inlineStr">
        <is>
          <t xml:space="preserve">98% хлопок, 2% спандекс</t>
        </is>
      </c>
      <c r="J1303" t="inlineStr">
        <is>
          <t xml:space="preserve">лето</t>
        </is>
      </c>
      <c r="K1303" t="inlineStr">
        <is>
          <t xml:space="preserve">Бангладеш</t>
        </is>
      </c>
      <c r="L1303" t="inlineStr">
        <is>
          <t xml:space="preserve">6203429000</t>
        </is>
      </c>
      <c r="M1303" t="inlineStr">
        <is>
          <t xml:space="preserve">Декларация № ЕАЭС № BY/112 11.01. ТР017 122.01 08246, до 19.04.2028</t>
        </is>
      </c>
      <c r="N1303" t="inlineStr">
        <is>
          <t xml:space="preserve">20 × 16 × 6</t>
        </is>
      </c>
      <c r="O1303" t="inlineStr">
        <is>
          <t xml:space="preserve">0,35</t>
        </is>
      </c>
      <c r="P1303" t="inlineStr">
        <is>
          <t xml:space="preserve">4816148184665</t>
        </is>
      </c>
      <c r="Q1303" s="3" t="str">
        <f>HYPERLINK("https://modify.by/img/1152979812/1.webp","фото")</f>
        <v>фото</v>
      </c>
      <c r="R1303" s="3" t="str">
        <f>HYPERLINK("https://modify.by/catalog/shorty/1152979812/?utm_source=price&amp;utm_medium=xlsx","открыть")</f>
        <v>открыть</v>
      </c>
    </row>
    <row r="1304">
      <c r="A1304" t="inlineStr">
        <is>
          <t xml:space="preserve">Мужской</t>
        </is>
      </c>
      <c r="B1304" t="inlineStr">
        <is>
          <t xml:space="preserve">Шорты</t>
        </is>
      </c>
      <c r="C1304" t="inlineStr">
        <is>
          <t xml:space="preserve">Шорты бермуды хлопковые классические свободные</t>
        </is>
      </c>
      <c r="D1304" t="inlineStr">
        <is>
          <t xml:space="preserve">BE52M02Синий</t>
        </is>
      </c>
      <c r="E1304" t="inlineStr">
        <is>
          <t xml:space="preserve">синий лён, светло-синий</t>
        </is>
      </c>
      <c r="F1304" t="inlineStr">
        <is>
          <t xml:space="preserve">54</t>
        </is>
      </c>
      <c r="G1304">
        <v>1</v>
      </c>
      <c r="H1304" s="2">
        <v>33.0</v>
      </c>
      <c r="I1304" t="inlineStr">
        <is>
          <t xml:space="preserve">98% хлопок, 2%спандекс</t>
        </is>
      </c>
      <c r="J1304" t="inlineStr">
        <is>
          <t xml:space="preserve">лето</t>
        </is>
      </c>
      <c r="K1304" t="inlineStr">
        <is>
          <t xml:space="preserve">Бангладеш</t>
        </is>
      </c>
      <c r="L1304" t="inlineStr">
        <is>
          <t xml:space="preserve">6203429000</t>
        </is>
      </c>
      <c r="M1304" t="inlineStr">
        <is>
          <t xml:space="preserve">Декларация № ЕАЭС № BY/112 11.01. ТР017 122.01 08246, до 19.04.2028</t>
        </is>
      </c>
      <c r="N1304" t="inlineStr">
        <is>
          <t xml:space="preserve">30 × 20 × 3</t>
        </is>
      </c>
      <c r="O1304" t="inlineStr">
        <is>
          <t xml:space="preserve">0,25</t>
        </is>
      </c>
      <c r="P1304" t="inlineStr">
        <is>
          <t xml:space="preserve">4816148165336</t>
        </is>
      </c>
      <c r="Q1304" s="3" t="str">
        <f>HYPERLINK("https://modify.by/img/396086324/1.webp","фото")</f>
        <v>фото</v>
      </c>
      <c r="R1304" s="3" t="str">
        <f>HYPERLINK("https://modify.by/catalog/shorty/396086324/?utm_source=price&amp;utm_medium=xlsx","открыть")</f>
        <v>открыть</v>
      </c>
    </row>
    <row r="1305">
      <c r="A1305" t="inlineStr">
        <is>
          <t xml:space="preserve">Мужской</t>
        </is>
      </c>
      <c r="B1305" t="inlineStr">
        <is>
          <t xml:space="preserve">Шорты</t>
        </is>
      </c>
      <c r="C1305" t="inlineStr">
        <is>
          <t xml:space="preserve">Шорты бермуды хлопок с эффектом льна</t>
        </is>
      </c>
      <c r="D1305" t="inlineStr">
        <is>
          <t xml:space="preserve">BE42M03васильковый</t>
        </is>
      </c>
      <c r="E1305" t="inlineStr">
        <is>
          <t xml:space="preserve">синий</t>
        </is>
      </c>
      <c r="F1305" t="inlineStr">
        <is>
          <t xml:space="preserve">48</t>
        </is>
      </c>
      <c r="G1305">
        <v>33</v>
      </c>
      <c r="H1305" s="2">
        <v>32.0</v>
      </c>
      <c r="I1305" t="inlineStr">
        <is>
          <t xml:space="preserve">хлопок, вискоза</t>
        </is>
      </c>
      <c r="J1305" t="inlineStr">
        <is>
          <t xml:space="preserve">лето</t>
        </is>
      </c>
      <c r="K1305" t="inlineStr">
        <is>
          <t xml:space="preserve">Бангладеш</t>
        </is>
      </c>
      <c r="L1305" t="inlineStr">
        <is>
          <t xml:space="preserve">6203429000</t>
        </is>
      </c>
      <c r="M1305" t="inlineStr">
        <is>
          <t xml:space="preserve">Декларация № ЕАЭС № BY/112 11.01. ТР017 122.01 08246, до 19.04.2028</t>
        </is>
      </c>
      <c r="N1305" t="inlineStr">
        <is>
          <t xml:space="preserve">33 × 25 × 2</t>
        </is>
      </c>
      <c r="O1305" t="inlineStr">
        <is>
          <t xml:space="preserve">0,25</t>
        </is>
      </c>
      <c r="P1305" t="inlineStr">
        <is>
          <t xml:space="preserve">4816148107145</t>
        </is>
      </c>
      <c r="Q1305" s="3" t="str">
        <f>HYPERLINK("https://modify.by/img/243036315/1.webp","фото")</f>
        <v>фото</v>
      </c>
      <c r="R1305" s="3" t="str">
        <f>HYPERLINK("https://modify.by/catalog/shorty/243036315/?utm_source=price&amp;utm_medium=xlsx","открыть")</f>
        <v>открыть</v>
      </c>
    </row>
    <row r="1306">
      <c r="A1306" t="inlineStr">
        <is>
          <t xml:space="preserve">Мужской</t>
        </is>
      </c>
      <c r="B1306" t="inlineStr">
        <is>
          <t xml:space="preserve">Шорты</t>
        </is>
      </c>
      <c r="C1306" t="inlineStr">
        <is>
          <t xml:space="preserve">Шорты бермуды хлопок с эффектом льна</t>
        </is>
      </c>
      <c r="D1306" t="inlineStr">
        <is>
          <t xml:space="preserve">BE42M03васильковый</t>
        </is>
      </c>
      <c r="E1306" t="inlineStr">
        <is>
          <t xml:space="preserve">синий</t>
        </is>
      </c>
      <c r="F1306" t="inlineStr">
        <is>
          <t xml:space="preserve">50</t>
        </is>
      </c>
      <c r="G1306">
        <v>10</v>
      </c>
      <c r="H1306" s="2">
        <v>32.0</v>
      </c>
      <c r="I1306" t="inlineStr">
        <is>
          <t xml:space="preserve">хлопок, вискоза</t>
        </is>
      </c>
      <c r="J1306" t="inlineStr">
        <is>
          <t xml:space="preserve">лето</t>
        </is>
      </c>
      <c r="K1306" t="inlineStr">
        <is>
          <t xml:space="preserve">Бангладеш</t>
        </is>
      </c>
      <c r="L1306" t="inlineStr">
        <is>
          <t xml:space="preserve">6203429000</t>
        </is>
      </c>
      <c r="M1306" t="inlineStr">
        <is>
          <t xml:space="preserve">Декларация № ЕАЭС № BY/112 11.01. ТР017 122.01 08246, до 19.04.2028</t>
        </is>
      </c>
      <c r="N1306" t="inlineStr">
        <is>
          <t xml:space="preserve">33 × 25 × 2</t>
        </is>
      </c>
      <c r="O1306" t="inlineStr">
        <is>
          <t xml:space="preserve">0,25</t>
        </is>
      </c>
      <c r="P1306" t="inlineStr">
        <is>
          <t xml:space="preserve">4816148107152</t>
        </is>
      </c>
      <c r="Q1306" s="3" t="str">
        <f>HYPERLINK("https://modify.by/img/243036315/1.webp","фото")</f>
        <v>фото</v>
      </c>
      <c r="R1306" s="3" t="str">
        <f>HYPERLINK("https://modify.by/catalog/shorty/243036315/?utm_source=price&amp;utm_medium=xlsx","открыть")</f>
        <v>открыть</v>
      </c>
    </row>
    <row r="1307">
      <c r="A1307" t="inlineStr">
        <is>
          <t xml:space="preserve">Мужской</t>
        </is>
      </c>
      <c r="B1307" t="inlineStr">
        <is>
          <t xml:space="preserve">Шорты</t>
        </is>
      </c>
      <c r="C1307" t="inlineStr">
        <is>
          <t xml:space="preserve">Шорты джинсовые длинные, голубой</t>
        </is>
      </c>
      <c r="D1307" t="inlineStr">
        <is>
          <t xml:space="preserve">BE32M05Синий,голубой</t>
        </is>
      </c>
      <c r="E1307" t="inlineStr">
        <is>
          <t xml:space="preserve">голубой, синий</t>
        </is>
      </c>
      <c r="F1307" t="inlineStr">
        <is>
          <t xml:space="preserve">46-48</t>
        </is>
      </c>
      <c r="G1307">
        <v>1</v>
      </c>
      <c r="H1307" s="2">
        <v>29.0</v>
      </c>
      <c r="I1307" t="inlineStr">
        <is>
          <t xml:space="preserve">100% хлопок</t>
        </is>
      </c>
      <c r="J1307"/>
      <c r="K1307" t="inlineStr">
        <is>
          <t xml:space="preserve">Бангладеш</t>
        </is>
      </c>
      <c r="L1307" t="inlineStr">
        <is>
          <t xml:space="preserve">6203429000</t>
        </is>
      </c>
      <c r="M1307" t="inlineStr">
        <is>
          <t xml:space="preserve">по запросу</t>
        </is>
      </c>
      <c r="N1307" t="inlineStr">
        <is>
          <t xml:space="preserve">35 × 30 × 4</t>
        </is>
      </c>
      <c r="O1307" t="inlineStr">
        <is>
          <t xml:space="preserve">0,35</t>
        </is>
      </c>
      <c r="P1307" t="inlineStr">
        <is>
          <t xml:space="preserve">2026620783336</t>
        </is>
      </c>
      <c r="Q1307" s="3" t="str">
        <f>HYPERLINK("https://modify.by/img/149641464/1.webp","фото")</f>
        <v>фото</v>
      </c>
      <c r="R1307" s="3" t="str">
        <f>HYPERLINK("https://modify.by/catalog/shorty/149641464/?utm_source=price&amp;utm_medium=xlsx","открыть")</f>
        <v>открыть</v>
      </c>
    </row>
    <row r="1308">
      <c r="A1308" t="inlineStr">
        <is>
          <t xml:space="preserve">Мужской</t>
        </is>
      </c>
      <c r="B1308" t="inlineStr">
        <is>
          <t xml:space="preserve">Шорты</t>
        </is>
      </c>
      <c r="C1308" t="inlineStr">
        <is>
          <t xml:space="preserve">Шорты джинсовые длинные, голубой</t>
        </is>
      </c>
      <c r="D1308" t="inlineStr">
        <is>
          <t xml:space="preserve">BE32M05Синий,голубой</t>
        </is>
      </c>
      <c r="E1308" t="inlineStr">
        <is>
          <t xml:space="preserve">голубой, синий</t>
        </is>
      </c>
      <c r="F1308" t="inlineStr">
        <is>
          <t xml:space="preserve">50-52</t>
        </is>
      </c>
      <c r="G1308">
        <v>1</v>
      </c>
      <c r="H1308" s="2">
        <v>29.0</v>
      </c>
      <c r="I1308" t="inlineStr">
        <is>
          <t xml:space="preserve">100% хлопок</t>
        </is>
      </c>
      <c r="J1308"/>
      <c r="K1308" t="inlineStr">
        <is>
          <t xml:space="preserve">Бангладеш</t>
        </is>
      </c>
      <c r="L1308" t="inlineStr">
        <is>
          <t xml:space="preserve">6203429000</t>
        </is>
      </c>
      <c r="M1308" t="inlineStr">
        <is>
          <t xml:space="preserve">по запросу</t>
        </is>
      </c>
      <c r="N1308" t="inlineStr">
        <is>
          <t xml:space="preserve">35 × 30 × 4</t>
        </is>
      </c>
      <c r="O1308" t="inlineStr">
        <is>
          <t xml:space="preserve">0,35</t>
        </is>
      </c>
      <c r="P1308" t="inlineStr">
        <is>
          <t xml:space="preserve">2026620783312</t>
        </is>
      </c>
      <c r="Q1308" s="3" t="str">
        <f>HYPERLINK("https://modify.by/img/149641464/1.webp","фото")</f>
        <v>фото</v>
      </c>
      <c r="R1308" s="3" t="str">
        <f>HYPERLINK("https://modify.by/catalog/shorty/149641464/?utm_source=price&amp;utm_medium=xlsx","открыть")</f>
        <v>открыть</v>
      </c>
    </row>
    <row r="1309">
      <c r="A1309" t="inlineStr">
        <is>
          <t xml:space="preserve">Мужской</t>
        </is>
      </c>
      <c r="B1309" t="inlineStr">
        <is>
          <t xml:space="preserve">Шорты</t>
        </is>
      </c>
      <c r="C1309" t="inlineStr">
        <is>
          <t xml:space="preserve">Шорты для плавания короткие быстросохнущие с сеткой</t>
        </is>
      </c>
      <c r="D1309" t="inlineStr">
        <is>
          <t xml:space="preserve">BS42M01черный</t>
        </is>
      </c>
      <c r="E1309" t="inlineStr">
        <is>
          <t xml:space="preserve">черный</t>
        </is>
      </c>
      <c r="F1309" t="inlineStr">
        <is>
          <t xml:space="preserve">46</t>
        </is>
      </c>
      <c r="G1309">
        <v>26</v>
      </c>
      <c r="H1309" s="2">
        <v>19.0</v>
      </c>
      <c r="I1309" t="inlineStr">
        <is>
          <t xml:space="preserve">полиэстер</t>
        </is>
      </c>
      <c r="J1309" t="inlineStr">
        <is>
          <t xml:space="preserve">лето</t>
        </is>
      </c>
      <c r="K1309" t="inlineStr">
        <is>
          <t xml:space="preserve">Бангладеш</t>
        </is>
      </c>
      <c r="L1309" t="inlineStr">
        <is>
          <t xml:space="preserve">6203439000</t>
        </is>
      </c>
      <c r="M1309" t="inlineStr">
        <is>
          <t xml:space="preserve">Декларация № ЕАЭС № BY/112 11.01. ТР017 122.01 08246, до 19.04.2028</t>
        </is>
      </c>
      <c r="N1309" t="inlineStr">
        <is>
          <t xml:space="preserve">2 × 10 × 10</t>
        </is>
      </c>
      <c r="O1309" t="inlineStr">
        <is>
          <t xml:space="preserve">0,25</t>
        </is>
      </c>
      <c r="P1309" t="inlineStr">
        <is>
          <t xml:space="preserve">2038096207605</t>
        </is>
      </c>
      <c r="Q1309" s="3" t="str">
        <f>HYPERLINK("https://modify.by/img/243667504/1.webp","фото")</f>
        <v>фото</v>
      </c>
      <c r="R1309" s="3" t="str">
        <f>HYPERLINK("https://modify.by/catalog/shorty/243667504/?utm_source=price&amp;utm_medium=xlsx","открыть")</f>
        <v>открыть</v>
      </c>
    </row>
    <row r="1310">
      <c r="A1310" t="inlineStr">
        <is>
          <t xml:space="preserve">Мужской</t>
        </is>
      </c>
      <c r="B1310" t="inlineStr">
        <is>
          <t xml:space="preserve">Шорты</t>
        </is>
      </c>
      <c r="C1310" t="inlineStr">
        <is>
          <t xml:space="preserve">Шорты для плавания короткие быстросохнущие с сеткой</t>
        </is>
      </c>
      <c r="D1310" t="inlineStr">
        <is>
          <t xml:space="preserve">BS42M01черный</t>
        </is>
      </c>
      <c r="E1310" t="inlineStr">
        <is>
          <t xml:space="preserve">черный</t>
        </is>
      </c>
      <c r="F1310" t="inlineStr">
        <is>
          <t xml:space="preserve">46</t>
        </is>
      </c>
      <c r="G1310">
        <v>26</v>
      </c>
      <c r="H1310" s="2">
        <v>19.0</v>
      </c>
      <c r="I1310" t="inlineStr">
        <is>
          <t xml:space="preserve">полиэстер</t>
        </is>
      </c>
      <c r="J1310" t="inlineStr">
        <is>
          <t xml:space="preserve">лето</t>
        </is>
      </c>
      <c r="K1310" t="inlineStr">
        <is>
          <t xml:space="preserve">Бангладеш</t>
        </is>
      </c>
      <c r="L1310" t="inlineStr">
        <is>
          <t xml:space="preserve">6203439000</t>
        </is>
      </c>
      <c r="M1310" t="inlineStr">
        <is>
          <t xml:space="preserve">Декларация № ЕАЭС № BY/112 11.01. ТР017 122.01 08246, до 19.04.2028</t>
        </is>
      </c>
      <c r="N1310" t="inlineStr">
        <is>
          <t xml:space="preserve">2 × 10 × 10</t>
        </is>
      </c>
      <c r="O1310" t="inlineStr">
        <is>
          <t xml:space="preserve">0,25</t>
        </is>
      </c>
      <c r="P1310" t="inlineStr">
        <is>
          <t xml:space="preserve">4816148132239</t>
        </is>
      </c>
      <c r="Q1310" s="3" t="str">
        <f>HYPERLINK("https://modify.by/img/243667504/1.webp","фото")</f>
        <v>фото</v>
      </c>
      <c r="R1310" s="3" t="str">
        <f>HYPERLINK("https://modify.by/catalog/shorty/243667504/?utm_source=price&amp;utm_medium=xlsx","открыть")</f>
        <v>открыть</v>
      </c>
    </row>
    <row r="1311">
      <c r="A1311" t="inlineStr">
        <is>
          <t xml:space="preserve">Мужской</t>
        </is>
      </c>
      <c r="B1311" t="inlineStr">
        <is>
          <t xml:space="preserve">Шорты</t>
        </is>
      </c>
      <c r="C1311" t="inlineStr">
        <is>
          <t xml:space="preserve">Шорты для плавания короткие быстросохнущие с сеткой</t>
        </is>
      </c>
      <c r="D1311" t="inlineStr">
        <is>
          <t xml:space="preserve">BS42M01черный</t>
        </is>
      </c>
      <c r="E1311" t="inlineStr">
        <is>
          <t xml:space="preserve">черный</t>
        </is>
      </c>
      <c r="F1311" t="inlineStr">
        <is>
          <t xml:space="preserve">48</t>
        </is>
      </c>
      <c r="G1311">
        <v>61</v>
      </c>
      <c r="H1311" s="2">
        <v>19.0</v>
      </c>
      <c r="I1311" t="inlineStr">
        <is>
          <t xml:space="preserve">полиэстер</t>
        </is>
      </c>
      <c r="J1311" t="inlineStr">
        <is>
          <t xml:space="preserve">лето</t>
        </is>
      </c>
      <c r="K1311" t="inlineStr">
        <is>
          <t xml:space="preserve">Бангладеш</t>
        </is>
      </c>
      <c r="L1311" t="inlineStr">
        <is>
          <t xml:space="preserve">6203439000</t>
        </is>
      </c>
      <c r="M1311" t="inlineStr">
        <is>
          <t xml:space="preserve">Декларация № ЕАЭС № BY/112 11.01. ТР017 122.01 08246, до 19.04.2028</t>
        </is>
      </c>
      <c r="N1311" t="inlineStr">
        <is>
          <t xml:space="preserve">2 × 10 × 10</t>
        </is>
      </c>
      <c r="O1311" t="inlineStr">
        <is>
          <t xml:space="preserve">0,25</t>
        </is>
      </c>
      <c r="P1311" t="inlineStr">
        <is>
          <t xml:space="preserve">2038096207612</t>
        </is>
      </c>
      <c r="Q1311" s="3" t="str">
        <f>HYPERLINK("https://modify.by/img/243667504/1.webp","фото")</f>
        <v>фото</v>
      </c>
      <c r="R1311" s="3" t="str">
        <f>HYPERLINK("https://modify.by/catalog/shorty/243667504/?utm_source=price&amp;utm_medium=xlsx","открыть")</f>
        <v>открыть</v>
      </c>
    </row>
    <row r="1312">
      <c r="A1312" t="inlineStr">
        <is>
          <t xml:space="preserve">Мужской</t>
        </is>
      </c>
      <c r="B1312" t="inlineStr">
        <is>
          <t xml:space="preserve">Шорты</t>
        </is>
      </c>
      <c r="C1312" t="inlineStr">
        <is>
          <t xml:space="preserve">Шорты для плавания короткие быстросохнущие с сеткой</t>
        </is>
      </c>
      <c r="D1312" t="inlineStr">
        <is>
          <t xml:space="preserve">BS42M01черный</t>
        </is>
      </c>
      <c r="E1312" t="inlineStr">
        <is>
          <t xml:space="preserve">черный</t>
        </is>
      </c>
      <c r="F1312" t="inlineStr">
        <is>
          <t xml:space="preserve">48</t>
        </is>
      </c>
      <c r="G1312">
        <v>61</v>
      </c>
      <c r="H1312" s="2">
        <v>19.0</v>
      </c>
      <c r="I1312" t="inlineStr">
        <is>
          <t xml:space="preserve">полиэстер</t>
        </is>
      </c>
      <c r="J1312" t="inlineStr">
        <is>
          <t xml:space="preserve">лето</t>
        </is>
      </c>
      <c r="K1312" t="inlineStr">
        <is>
          <t xml:space="preserve">Бангладеш</t>
        </is>
      </c>
      <c r="L1312" t="inlineStr">
        <is>
          <t xml:space="preserve">6203439000</t>
        </is>
      </c>
      <c r="M1312" t="inlineStr">
        <is>
          <t xml:space="preserve">Декларация № ЕАЭС № BY/112 11.01. ТР017 122.01 08246, до 19.04.2028</t>
        </is>
      </c>
      <c r="N1312" t="inlineStr">
        <is>
          <t xml:space="preserve">2 × 10 × 10</t>
        </is>
      </c>
      <c r="O1312" t="inlineStr">
        <is>
          <t xml:space="preserve">0,25</t>
        </is>
      </c>
      <c r="P1312" t="inlineStr">
        <is>
          <t xml:space="preserve">4816148132246</t>
        </is>
      </c>
      <c r="Q1312" s="3" t="str">
        <f>HYPERLINK("https://modify.by/img/243667504/1.webp","фото")</f>
        <v>фото</v>
      </c>
      <c r="R1312" s="3" t="str">
        <f>HYPERLINK("https://modify.by/catalog/shorty/243667504/?utm_source=price&amp;utm_medium=xlsx","открыть")</f>
        <v>открыть</v>
      </c>
    </row>
    <row r="1313">
      <c r="A1313" t="inlineStr">
        <is>
          <t xml:space="preserve">Мужской</t>
        </is>
      </c>
      <c r="B1313" t="inlineStr">
        <is>
          <t xml:space="preserve">Шорты</t>
        </is>
      </c>
      <c r="C1313" t="inlineStr">
        <is>
          <t xml:space="preserve">Шорты для плавания короткие быстросохнущие с сеткой</t>
        </is>
      </c>
      <c r="D1313" t="inlineStr">
        <is>
          <t xml:space="preserve">BS42M01черный</t>
        </is>
      </c>
      <c r="E1313" t="inlineStr">
        <is>
          <t xml:space="preserve">черный</t>
        </is>
      </c>
      <c r="F1313" t="inlineStr">
        <is>
          <t xml:space="preserve">50</t>
        </is>
      </c>
      <c r="G1313">
        <v>27</v>
      </c>
      <c r="H1313" s="2">
        <v>19.0</v>
      </c>
      <c r="I1313" t="inlineStr">
        <is>
          <t xml:space="preserve">полиэстер</t>
        </is>
      </c>
      <c r="J1313" t="inlineStr">
        <is>
          <t xml:space="preserve">лето</t>
        </is>
      </c>
      <c r="K1313" t="inlineStr">
        <is>
          <t xml:space="preserve">Бангладеш</t>
        </is>
      </c>
      <c r="L1313" t="inlineStr">
        <is>
          <t xml:space="preserve">6203439000</t>
        </is>
      </c>
      <c r="M1313" t="inlineStr">
        <is>
          <t xml:space="preserve">Декларация № ЕАЭС № BY/112 11.01. ТР017 122.01 08246, до 19.04.2028</t>
        </is>
      </c>
      <c r="N1313" t="inlineStr">
        <is>
          <t xml:space="preserve">2 × 10 × 10</t>
        </is>
      </c>
      <c r="O1313" t="inlineStr">
        <is>
          <t xml:space="preserve">0,25</t>
        </is>
      </c>
      <c r="P1313" t="inlineStr">
        <is>
          <t xml:space="preserve">2038096207629</t>
        </is>
      </c>
      <c r="Q1313" s="3" t="str">
        <f>HYPERLINK("https://modify.by/img/243667504/1.webp","фото")</f>
        <v>фото</v>
      </c>
      <c r="R1313" s="3" t="str">
        <f>HYPERLINK("https://modify.by/catalog/shorty/243667504/?utm_source=price&amp;utm_medium=xlsx","открыть")</f>
        <v>открыть</v>
      </c>
    </row>
    <row r="1314">
      <c r="A1314" t="inlineStr">
        <is>
          <t xml:space="preserve">Мужской</t>
        </is>
      </c>
      <c r="B1314" t="inlineStr">
        <is>
          <t xml:space="preserve">Шорты</t>
        </is>
      </c>
      <c r="C1314" t="inlineStr">
        <is>
          <t xml:space="preserve">Шорты для плавания короткие быстросохнущие с сеткой</t>
        </is>
      </c>
      <c r="D1314" t="inlineStr">
        <is>
          <t xml:space="preserve">BS42M01черный</t>
        </is>
      </c>
      <c r="E1314" t="inlineStr">
        <is>
          <t xml:space="preserve">черный</t>
        </is>
      </c>
      <c r="F1314" t="inlineStr">
        <is>
          <t xml:space="preserve">50</t>
        </is>
      </c>
      <c r="G1314">
        <v>27</v>
      </c>
      <c r="H1314" s="2">
        <v>19.0</v>
      </c>
      <c r="I1314" t="inlineStr">
        <is>
          <t xml:space="preserve">полиэстер</t>
        </is>
      </c>
      <c r="J1314" t="inlineStr">
        <is>
          <t xml:space="preserve">лето</t>
        </is>
      </c>
      <c r="K1314" t="inlineStr">
        <is>
          <t xml:space="preserve">Бангладеш</t>
        </is>
      </c>
      <c r="L1314" t="inlineStr">
        <is>
          <t xml:space="preserve">6203439000</t>
        </is>
      </c>
      <c r="M1314" t="inlineStr">
        <is>
          <t xml:space="preserve">Декларация № ЕАЭС № BY/112 11.01. ТР017 122.01 08246, до 19.04.2028</t>
        </is>
      </c>
      <c r="N1314" t="inlineStr">
        <is>
          <t xml:space="preserve">2 × 10 × 10</t>
        </is>
      </c>
      <c r="O1314" t="inlineStr">
        <is>
          <t xml:space="preserve">0,25</t>
        </is>
      </c>
      <c r="P1314" t="inlineStr">
        <is>
          <t xml:space="preserve">4816148132253</t>
        </is>
      </c>
      <c r="Q1314" s="3" t="str">
        <f>HYPERLINK("https://modify.by/img/243667504/1.webp","фото")</f>
        <v>фото</v>
      </c>
      <c r="R1314" s="3" t="str">
        <f>HYPERLINK("https://modify.by/catalog/shorty/243667504/?utm_source=price&amp;utm_medium=xlsx","открыть")</f>
        <v>открыть</v>
      </c>
    </row>
    <row r="1315">
      <c r="A1315" t="inlineStr">
        <is>
          <t xml:space="preserve">Мужской</t>
        </is>
      </c>
      <c r="B1315" t="inlineStr">
        <is>
          <t xml:space="preserve">Шорты</t>
        </is>
      </c>
      <c r="C1315" t="inlineStr">
        <is>
          <t xml:space="preserve">Шорты для плавания короткие быстросохнущие с сеткой</t>
        </is>
      </c>
      <c r="D1315" t="inlineStr">
        <is>
          <t xml:space="preserve">BS42M01черный</t>
        </is>
      </c>
      <c r="E1315" t="inlineStr">
        <is>
          <t xml:space="preserve">черный</t>
        </is>
      </c>
      <c r="F1315" t="inlineStr">
        <is>
          <t xml:space="preserve">52</t>
        </is>
      </c>
      <c r="G1315">
        <v>4</v>
      </c>
      <c r="H1315" s="2">
        <v>19.0</v>
      </c>
      <c r="I1315" t="inlineStr">
        <is>
          <t xml:space="preserve">полиэстер</t>
        </is>
      </c>
      <c r="J1315" t="inlineStr">
        <is>
          <t xml:space="preserve">лето</t>
        </is>
      </c>
      <c r="K1315" t="inlineStr">
        <is>
          <t xml:space="preserve">Бангладеш</t>
        </is>
      </c>
      <c r="L1315" t="inlineStr">
        <is>
          <t xml:space="preserve">6203439000</t>
        </is>
      </c>
      <c r="M1315" t="inlineStr">
        <is>
          <t xml:space="preserve">Декларация № ЕАЭС № BY/112 11.01. ТР017 122.01 08246, до 19.04.2028</t>
        </is>
      </c>
      <c r="N1315" t="inlineStr">
        <is>
          <t xml:space="preserve">2 × 10 × 10</t>
        </is>
      </c>
      <c r="O1315" t="inlineStr">
        <is>
          <t xml:space="preserve">0,25</t>
        </is>
      </c>
      <c r="P1315" t="inlineStr">
        <is>
          <t xml:space="preserve">2038096207636</t>
        </is>
      </c>
      <c r="Q1315" s="3" t="str">
        <f>HYPERLINK("https://modify.by/img/243667504/1.webp","фото")</f>
        <v>фото</v>
      </c>
      <c r="R1315" s="3" t="str">
        <f>HYPERLINK("https://modify.by/catalog/shorty/243667504/?utm_source=price&amp;utm_medium=xlsx","открыть")</f>
        <v>открыть</v>
      </c>
    </row>
    <row r="1316">
      <c r="A1316" t="inlineStr">
        <is>
          <t xml:space="preserve">Мужской</t>
        </is>
      </c>
      <c r="B1316" t="inlineStr">
        <is>
          <t xml:space="preserve">Шорты</t>
        </is>
      </c>
      <c r="C1316" t="inlineStr">
        <is>
          <t xml:space="preserve">Шорты для плавания короткие быстросохнущие с сеткой</t>
        </is>
      </c>
      <c r="D1316" t="inlineStr">
        <is>
          <t xml:space="preserve">BS42M01черный</t>
        </is>
      </c>
      <c r="E1316" t="inlineStr">
        <is>
          <t xml:space="preserve">черный</t>
        </is>
      </c>
      <c r="F1316" t="inlineStr">
        <is>
          <t xml:space="preserve">52</t>
        </is>
      </c>
      <c r="G1316">
        <v>4</v>
      </c>
      <c r="H1316" s="2">
        <v>19.0</v>
      </c>
      <c r="I1316" t="inlineStr">
        <is>
          <t xml:space="preserve">полиэстер</t>
        </is>
      </c>
      <c r="J1316" t="inlineStr">
        <is>
          <t xml:space="preserve">лето</t>
        </is>
      </c>
      <c r="K1316" t="inlineStr">
        <is>
          <t xml:space="preserve">Бангладеш</t>
        </is>
      </c>
      <c r="L1316" t="inlineStr">
        <is>
          <t xml:space="preserve">6203439000</t>
        </is>
      </c>
      <c r="M1316" t="inlineStr">
        <is>
          <t xml:space="preserve">Декларация № ЕАЭС № BY/112 11.01. ТР017 122.01 08246, до 19.04.2028</t>
        </is>
      </c>
      <c r="N1316" t="inlineStr">
        <is>
          <t xml:space="preserve">2 × 10 × 10</t>
        </is>
      </c>
      <c r="O1316" t="inlineStr">
        <is>
          <t xml:space="preserve">0,25</t>
        </is>
      </c>
      <c r="P1316" t="inlineStr">
        <is>
          <t xml:space="preserve">4816148132260</t>
        </is>
      </c>
      <c r="Q1316" s="3" t="str">
        <f>HYPERLINK("https://modify.by/img/243667504/1.webp","фото")</f>
        <v>фото</v>
      </c>
      <c r="R1316" s="3" t="str">
        <f>HYPERLINK("https://modify.by/catalog/shorty/243667504/?utm_source=price&amp;utm_medium=xlsx","открыть")</f>
        <v>открыть</v>
      </c>
    </row>
    <row r="1317">
      <c r="A1317" t="inlineStr">
        <is>
          <t xml:space="preserve">Мужской</t>
        </is>
      </c>
      <c r="B1317" t="inlineStr">
        <is>
          <t xml:space="preserve">Шорты</t>
        </is>
      </c>
      <c r="C1317" t="inlineStr">
        <is>
          <t xml:space="preserve">Шорты для плавания короткие быстросохнущие с сеткой</t>
        </is>
      </c>
      <c r="D1317" t="inlineStr">
        <is>
          <t xml:space="preserve">BS42M01черный</t>
        </is>
      </c>
      <c r="E1317" t="inlineStr">
        <is>
          <t xml:space="preserve">черный</t>
        </is>
      </c>
      <c r="F1317" t="inlineStr">
        <is>
          <t xml:space="preserve">54</t>
        </is>
      </c>
      <c r="G1317">
        <v>12</v>
      </c>
      <c r="H1317" s="2">
        <v>19.0</v>
      </c>
      <c r="I1317" t="inlineStr">
        <is>
          <t xml:space="preserve">полиэстер</t>
        </is>
      </c>
      <c r="J1317" t="inlineStr">
        <is>
          <t xml:space="preserve">лето</t>
        </is>
      </c>
      <c r="K1317" t="inlineStr">
        <is>
          <t xml:space="preserve">Бангладеш</t>
        </is>
      </c>
      <c r="L1317" t="inlineStr">
        <is>
          <t xml:space="preserve">6203439000</t>
        </is>
      </c>
      <c r="M1317" t="inlineStr">
        <is>
          <t xml:space="preserve">Декларация № ЕАЭС № BY/112 11.01. ТР017 122.01 08246, до 19.04.2028</t>
        </is>
      </c>
      <c r="N1317" t="inlineStr">
        <is>
          <t xml:space="preserve">2 × 10 × 10</t>
        </is>
      </c>
      <c r="O1317" t="inlineStr">
        <is>
          <t xml:space="preserve">0,25</t>
        </is>
      </c>
      <c r="P1317" t="inlineStr">
        <is>
          <t xml:space="preserve">2038096207643</t>
        </is>
      </c>
      <c r="Q1317" s="3" t="str">
        <f>HYPERLINK("https://modify.by/img/243667504/1.webp","фото")</f>
        <v>фото</v>
      </c>
      <c r="R1317" s="3" t="str">
        <f>HYPERLINK("https://modify.by/catalog/shorty/243667504/?utm_source=price&amp;utm_medium=xlsx","открыть")</f>
        <v>открыть</v>
      </c>
    </row>
    <row r="1318">
      <c r="A1318" t="inlineStr">
        <is>
          <t xml:space="preserve">Мужской</t>
        </is>
      </c>
      <c r="B1318" t="inlineStr">
        <is>
          <t xml:space="preserve">Шорты</t>
        </is>
      </c>
      <c r="C1318" t="inlineStr">
        <is>
          <t xml:space="preserve">Шорты для плавания короткие быстросохнущие с сеткой</t>
        </is>
      </c>
      <c r="D1318" t="inlineStr">
        <is>
          <t xml:space="preserve">BS42M01черный</t>
        </is>
      </c>
      <c r="E1318" t="inlineStr">
        <is>
          <t xml:space="preserve">черный</t>
        </is>
      </c>
      <c r="F1318" t="inlineStr">
        <is>
          <t xml:space="preserve">54</t>
        </is>
      </c>
      <c r="G1318">
        <v>12</v>
      </c>
      <c r="H1318" s="2">
        <v>19.0</v>
      </c>
      <c r="I1318" t="inlineStr">
        <is>
          <t xml:space="preserve">полиэстер</t>
        </is>
      </c>
      <c r="J1318" t="inlineStr">
        <is>
          <t xml:space="preserve">лето</t>
        </is>
      </c>
      <c r="K1318" t="inlineStr">
        <is>
          <t xml:space="preserve">Бангладеш</t>
        </is>
      </c>
      <c r="L1318" t="inlineStr">
        <is>
          <t xml:space="preserve">6203439000</t>
        </is>
      </c>
      <c r="M1318" t="inlineStr">
        <is>
          <t xml:space="preserve">Декларация № ЕАЭС № BY/112 11.01. ТР017 122.01 08246, до 19.04.2028</t>
        </is>
      </c>
      <c r="N1318" t="inlineStr">
        <is>
          <t xml:space="preserve">2 × 10 × 10</t>
        </is>
      </c>
      <c r="O1318" t="inlineStr">
        <is>
          <t xml:space="preserve">0,25</t>
        </is>
      </c>
      <c r="P1318" t="inlineStr">
        <is>
          <t xml:space="preserve">4816148132277</t>
        </is>
      </c>
      <c r="Q1318" s="3" t="str">
        <f>HYPERLINK("https://modify.by/img/243667504/1.webp","фото")</f>
        <v>фото</v>
      </c>
      <c r="R1318" s="3" t="str">
        <f>HYPERLINK("https://modify.by/catalog/shorty/243667504/?utm_source=price&amp;utm_medium=xlsx","открыть")</f>
        <v>открыть</v>
      </c>
    </row>
    <row r="1319">
      <c r="A1319" t="inlineStr">
        <is>
          <t xml:space="preserve">Мужской</t>
        </is>
      </c>
      <c r="B1319" t="inlineStr">
        <is>
          <t xml:space="preserve">Шорты</t>
        </is>
      </c>
      <c r="C1319" t="inlineStr">
        <is>
          <t xml:space="preserve">Шорты для плавания с карманами для пляжа и бассейна</t>
        </is>
      </c>
      <c r="D1319" t="inlineStr">
        <is>
          <t xml:space="preserve">BS42M02темно-синий</t>
        </is>
      </c>
      <c r="E1319" t="inlineStr">
        <is>
          <t xml:space="preserve">темно-синий</t>
        </is>
      </c>
      <c r="F1319" t="inlineStr">
        <is>
          <t xml:space="preserve">48</t>
        </is>
      </c>
      <c r="G1319">
        <v>38</v>
      </c>
      <c r="H1319" s="2">
        <v>22.0</v>
      </c>
      <c r="I1319" t="inlineStr">
        <is>
          <t xml:space="preserve">100% полиэстер</t>
        </is>
      </c>
      <c r="J1319"/>
      <c r="K1319" t="inlineStr">
        <is>
          <t xml:space="preserve">Бангладеш</t>
        </is>
      </c>
      <c r="L1319" t="inlineStr">
        <is>
          <t xml:space="preserve">6203439000</t>
        </is>
      </c>
      <c r="M1319" t="inlineStr">
        <is>
          <t xml:space="preserve">Декларация № ЕАЭС № BY/112 11.01. ТР017 122.01 08246, до 19.04.2028</t>
        </is>
      </c>
      <c r="N1319" t="inlineStr">
        <is>
          <t xml:space="preserve">35 × 30 × 1</t>
        </is>
      </c>
      <c r="O1319" t="inlineStr">
        <is>
          <t xml:space="preserve">0,25</t>
        </is>
      </c>
      <c r="P1319" t="inlineStr">
        <is>
          <t xml:space="preserve">4816148125002</t>
        </is>
      </c>
      <c r="Q1319" s="3" t="str">
        <f>HYPERLINK("https://modify.by/img/251887031/1.webp","фото")</f>
        <v>фото</v>
      </c>
      <c r="R1319" s="3" t="str">
        <f>HYPERLINK("https://modify.by/catalog/shorty/251887031/?utm_source=price&amp;utm_medium=xlsx","открыть")</f>
        <v>открыть</v>
      </c>
    </row>
    <row r="1320">
      <c r="A1320" t="inlineStr">
        <is>
          <t xml:space="preserve">Мужской</t>
        </is>
      </c>
      <c r="B1320" t="inlineStr">
        <is>
          <t xml:space="preserve">Шорты</t>
        </is>
      </c>
      <c r="C1320" t="inlineStr">
        <is>
          <t xml:space="preserve">Шорты для плавания с карманами для пляжа и бассейна</t>
        </is>
      </c>
      <c r="D1320" t="inlineStr">
        <is>
          <t xml:space="preserve">BS42M02темно-синий</t>
        </is>
      </c>
      <c r="E1320" t="inlineStr">
        <is>
          <t xml:space="preserve">темно-синий</t>
        </is>
      </c>
      <c r="F1320" t="inlineStr">
        <is>
          <t xml:space="preserve">50</t>
        </is>
      </c>
      <c r="G1320">
        <v>87</v>
      </c>
      <c r="H1320" s="2">
        <v>22.0</v>
      </c>
      <c r="I1320" t="inlineStr">
        <is>
          <t xml:space="preserve">100% полиэстер</t>
        </is>
      </c>
      <c r="J1320"/>
      <c r="K1320" t="inlineStr">
        <is>
          <t xml:space="preserve">Бангладеш</t>
        </is>
      </c>
      <c r="L1320" t="inlineStr">
        <is>
          <t xml:space="preserve">6203439000</t>
        </is>
      </c>
      <c r="M1320" t="inlineStr">
        <is>
          <t xml:space="preserve">Декларация № ЕАЭС № BY/112 11.01. ТР017 122.01 08246, до 19.04.2028</t>
        </is>
      </c>
      <c r="N1320" t="inlineStr">
        <is>
          <t xml:space="preserve">35 × 30 × 1</t>
        </is>
      </c>
      <c r="O1320" t="inlineStr">
        <is>
          <t xml:space="preserve">0,25</t>
        </is>
      </c>
      <c r="P1320" t="inlineStr">
        <is>
          <t xml:space="preserve">4816148125019</t>
        </is>
      </c>
      <c r="Q1320" s="3" t="str">
        <f>HYPERLINK("https://modify.by/img/251887031/1.webp","фото")</f>
        <v>фото</v>
      </c>
      <c r="R1320" s="3" t="str">
        <f>HYPERLINK("https://modify.by/catalog/shorty/251887031/?utm_source=price&amp;utm_medium=xlsx","открыть")</f>
        <v>открыть</v>
      </c>
    </row>
    <row r="1321">
      <c r="A1321" t="inlineStr">
        <is>
          <t xml:space="preserve">Мужской</t>
        </is>
      </c>
      <c r="B1321" t="inlineStr">
        <is>
          <t xml:space="preserve">Шорты</t>
        </is>
      </c>
      <c r="C1321" t="inlineStr">
        <is>
          <t xml:space="preserve">Шорты для плавания с карманами для пляжа и бассейна</t>
        </is>
      </c>
      <c r="D1321" t="inlineStr">
        <is>
          <t xml:space="preserve">BS42M02темно-синий</t>
        </is>
      </c>
      <c r="E1321" t="inlineStr">
        <is>
          <t xml:space="preserve">темно-синий</t>
        </is>
      </c>
      <c r="F1321" t="inlineStr">
        <is>
          <t xml:space="preserve">52</t>
        </is>
      </c>
      <c r="G1321">
        <v>59</v>
      </c>
      <c r="H1321" s="2">
        <v>22.0</v>
      </c>
      <c r="I1321" t="inlineStr">
        <is>
          <t xml:space="preserve">100% полиэстер</t>
        </is>
      </c>
      <c r="J1321"/>
      <c r="K1321" t="inlineStr">
        <is>
          <t xml:space="preserve">Бангладеш</t>
        </is>
      </c>
      <c r="L1321" t="inlineStr">
        <is>
          <t xml:space="preserve">6203439000</t>
        </is>
      </c>
      <c r="M1321" t="inlineStr">
        <is>
          <t xml:space="preserve">Декларация № ЕАЭС № BY/112 11.01. ТР017 122.01 08246, до 19.04.2028</t>
        </is>
      </c>
      <c r="N1321" t="inlineStr">
        <is>
          <t xml:space="preserve">35 × 30 × 1</t>
        </is>
      </c>
      <c r="O1321" t="inlineStr">
        <is>
          <t xml:space="preserve">0,25</t>
        </is>
      </c>
      <c r="P1321" t="inlineStr">
        <is>
          <t xml:space="preserve">4816148125026</t>
        </is>
      </c>
      <c r="Q1321" s="3" t="str">
        <f>HYPERLINK("https://modify.by/img/251887031/1.webp","фото")</f>
        <v>фото</v>
      </c>
      <c r="R1321" s="3" t="str">
        <f>HYPERLINK("https://modify.by/catalog/shorty/251887031/?utm_source=price&amp;utm_medium=xlsx","открыть")</f>
        <v>открыть</v>
      </c>
    </row>
    <row r="1322">
      <c r="A1322" t="inlineStr">
        <is>
          <t xml:space="preserve">Мужской</t>
        </is>
      </c>
      <c r="B1322" t="inlineStr">
        <is>
          <t xml:space="preserve">Шорты</t>
        </is>
      </c>
      <c r="C1322" t="inlineStr">
        <is>
          <t xml:space="preserve">Шорты для плавания с карманами для пляжа и бассейна</t>
        </is>
      </c>
      <c r="D1322" t="inlineStr">
        <is>
          <t xml:space="preserve">BS42M02темно-синий</t>
        </is>
      </c>
      <c r="E1322" t="inlineStr">
        <is>
          <t xml:space="preserve">темно-синий</t>
        </is>
      </c>
      <c r="F1322" t="inlineStr">
        <is>
          <t xml:space="preserve">54</t>
        </is>
      </c>
      <c r="G1322">
        <v>24</v>
      </c>
      <c r="H1322" s="2">
        <v>22.0</v>
      </c>
      <c r="I1322" t="inlineStr">
        <is>
          <t xml:space="preserve">100% полиэстер</t>
        </is>
      </c>
      <c r="J1322"/>
      <c r="K1322" t="inlineStr">
        <is>
          <t xml:space="preserve">Бангладеш</t>
        </is>
      </c>
      <c r="L1322" t="inlineStr">
        <is>
          <t xml:space="preserve">6203439000</t>
        </is>
      </c>
      <c r="M1322" t="inlineStr">
        <is>
          <t xml:space="preserve">Декларация № ЕАЭС № BY/112 11.01. ТР017 122.01 08246, до 19.04.2028</t>
        </is>
      </c>
      <c r="N1322" t="inlineStr">
        <is>
          <t xml:space="preserve">35 × 30 × 1</t>
        </is>
      </c>
      <c r="O1322" t="inlineStr">
        <is>
          <t xml:space="preserve">0,25</t>
        </is>
      </c>
      <c r="P1322" t="inlineStr">
        <is>
          <t xml:space="preserve">4816148125033</t>
        </is>
      </c>
      <c r="Q1322" s="3" t="str">
        <f>HYPERLINK("https://modify.by/img/251887031/1.webp","фото")</f>
        <v>фото</v>
      </c>
      <c r="R1322" s="3" t="str">
        <f>HYPERLINK("https://modify.by/catalog/shorty/251887031/?utm_source=price&amp;utm_medium=xlsx","открыть")</f>
        <v>открыть</v>
      </c>
    </row>
    <row r="1323">
      <c r="A1323" t="inlineStr">
        <is>
          <t xml:space="preserve">Мужской</t>
        </is>
      </c>
      <c r="B1323" t="inlineStr">
        <is>
          <t xml:space="preserve">Шорты</t>
        </is>
      </c>
      <c r="C1323" t="inlineStr">
        <is>
          <t xml:space="preserve">Шорты карго</t>
        </is>
      </c>
      <c r="D1323" t="inlineStr">
        <is>
          <t xml:space="preserve">BS12M04Песочный</t>
        </is>
      </c>
      <c r="E1323" t="inlineStr">
        <is>
          <t xml:space="preserve">песочный</t>
        </is>
      </c>
      <c r="F1323" t="inlineStr">
        <is>
          <t xml:space="preserve">50</t>
        </is>
      </c>
      <c r="G1323">
        <v>1</v>
      </c>
      <c r="H1323" s="2">
        <v>21.0</v>
      </c>
      <c r="I1323" t="inlineStr">
        <is>
          <t xml:space="preserve">полиэстер</t>
        </is>
      </c>
      <c r="J1323"/>
      <c r="K1323" t="inlineStr">
        <is>
          <t xml:space="preserve">Бангладеш</t>
        </is>
      </c>
      <c r="L1323" t="inlineStr">
        <is>
          <t xml:space="preserve">6204639000</t>
        </is>
      </c>
      <c r="M1323" t="inlineStr">
        <is>
          <t xml:space="preserve">по запросу</t>
        </is>
      </c>
      <c r="N1323"/>
      <c r="O1323"/>
      <c r="P1323" t="inlineStr">
        <is>
          <t xml:space="preserve">8595633712052</t>
        </is>
      </c>
      <c r="Q1323" s="3" t="str">
        <f>HYPERLINK("https://modify.by/img/31340587/1.webp","фото")</f>
        <v>фото</v>
      </c>
      <c r="R1323" s="3" t="str">
        <f>HYPERLINK("https://modify.by/catalog/shorty/31340587/?utm_source=price&amp;utm_medium=xlsx","открыть")</f>
        <v>открыть</v>
      </c>
    </row>
    <row r="1324">
      <c r="A1324" t="inlineStr">
        <is>
          <t xml:space="preserve">Мужской</t>
        </is>
      </c>
      <c r="B1324" t="inlineStr">
        <is>
          <t xml:space="preserve">Шорты</t>
        </is>
      </c>
      <c r="C1324" t="inlineStr">
        <is>
          <t xml:space="preserve">Шорты карго с карманами синие</t>
        </is>
      </c>
      <c r="D1324" t="inlineStr">
        <is>
          <t xml:space="preserve">BE22M01Темно-синий</t>
        </is>
      </c>
      <c r="E1324" t="inlineStr">
        <is>
          <t xml:space="preserve">темно-синий</t>
        </is>
      </c>
      <c r="F1324" t="inlineStr">
        <is>
          <t xml:space="preserve">48-50</t>
        </is>
      </c>
      <c r="G1324">
        <v>1</v>
      </c>
      <c r="H1324" s="2">
        <v>30.0</v>
      </c>
      <c r="I1324" t="inlineStr">
        <is>
          <t xml:space="preserve">хлопок 100%</t>
        </is>
      </c>
      <c r="J1324"/>
      <c r="K1324" t="inlineStr">
        <is>
          <t xml:space="preserve">Бангладеш</t>
        </is>
      </c>
      <c r="L1324" t="inlineStr">
        <is>
          <t xml:space="preserve">6204639000</t>
        </is>
      </c>
      <c r="M1324" t="inlineStr">
        <is>
          <t xml:space="preserve">по запросу</t>
        </is>
      </c>
      <c r="N1324"/>
      <c r="O1324"/>
      <c r="P1324" t="inlineStr">
        <is>
          <t xml:space="preserve">2016957078373</t>
        </is>
      </c>
      <c r="Q1324" s="3" t="str">
        <f>HYPERLINK("https://modify.by/img/91742188/1.webp","фото")</f>
        <v>фото</v>
      </c>
      <c r="R1324" s="3" t="str">
        <f>HYPERLINK("https://modify.by/catalog/shorty/91742188/?utm_source=price&amp;utm_medium=xlsx","открыть")</f>
        <v>открыть</v>
      </c>
    </row>
    <row r="1325">
      <c r="A1325" t="inlineStr">
        <is>
          <t xml:space="preserve">Мужской</t>
        </is>
      </c>
      <c r="B1325" t="inlineStr">
        <is>
          <t xml:space="preserve">Шорты</t>
        </is>
      </c>
      <c r="C1325" t="inlineStr">
        <is>
          <t xml:space="preserve">Шорты классические, бордовый</t>
        </is>
      </c>
      <c r="D1325" t="inlineStr">
        <is>
          <t xml:space="preserve">BR12M06Бордовый</t>
        </is>
      </c>
      <c r="E1325" t="inlineStr">
        <is>
          <t xml:space="preserve">бордовый</t>
        </is>
      </c>
      <c r="F1325" t="inlineStr">
        <is>
          <t xml:space="preserve">40-42</t>
        </is>
      </c>
      <c r="G1325">
        <v>1</v>
      </c>
      <c r="H1325" s="2">
        <v>31.0</v>
      </c>
      <c r="I1325" t="inlineStr">
        <is>
          <t xml:space="preserve">ПОЛИЭСТЕР 62% ВИСКОЗА 33% ЭЛАСТАН 5%</t>
        </is>
      </c>
      <c r="J1325"/>
      <c r="K1325" t="inlineStr">
        <is>
          <t xml:space="preserve">Бангладеш</t>
        </is>
      </c>
      <c r="L1325" t="inlineStr">
        <is>
          <t xml:space="preserve">6204639000</t>
        </is>
      </c>
      <c r="M1325" t="inlineStr">
        <is>
          <t xml:space="preserve">по запросу</t>
        </is>
      </c>
      <c r="N1325"/>
      <c r="O1325"/>
      <c r="P1325" t="inlineStr">
        <is>
          <t xml:space="preserve">2004452902170</t>
        </is>
      </c>
      <c r="Q1325" s="3" t="str">
        <f>HYPERLINK("https://modify.by/img/35304034/1.webp","фото")</f>
        <v>фото</v>
      </c>
      <c r="R1325" s="3" t="str">
        <f>HYPERLINK("https://modify.by/catalog/shorty/35304034/?utm_source=price&amp;utm_medium=xlsx","открыть")</f>
        <v>открыть</v>
      </c>
    </row>
    <row r="1326">
      <c r="A1326" t="inlineStr">
        <is>
          <t xml:space="preserve">Мужской</t>
        </is>
      </c>
      <c r="B1326" t="inlineStr">
        <is>
          <t xml:space="preserve">Шорты</t>
        </is>
      </c>
      <c r="C1326" t="inlineStr">
        <is>
          <t xml:space="preserve">Шорты классические, серый</t>
        </is>
      </c>
      <c r="D1326" t="inlineStr">
        <is>
          <t xml:space="preserve">BR12M06Серый</t>
        </is>
      </c>
      <c r="E1326" t="inlineStr">
        <is>
          <t xml:space="preserve">серый</t>
        </is>
      </c>
      <c r="F1326" t="inlineStr">
        <is>
          <t xml:space="preserve">40-42</t>
        </is>
      </c>
      <c r="G1326">
        <v>3</v>
      </c>
      <c r="H1326" s="2">
        <v>31.0</v>
      </c>
      <c r="I1326" t="inlineStr">
        <is>
          <t xml:space="preserve">ПОЛИЭСТЕР 62% ВИСКОЗА 33% ЭЛАСТАН 5%</t>
        </is>
      </c>
      <c r="J1326"/>
      <c r="K1326" t="inlineStr">
        <is>
          <t xml:space="preserve">Бангладеш</t>
        </is>
      </c>
      <c r="L1326" t="inlineStr">
        <is>
          <t xml:space="preserve">6204639000</t>
        </is>
      </c>
      <c r="M1326" t="inlineStr">
        <is>
          <t xml:space="preserve">по запросу</t>
        </is>
      </c>
      <c r="N1326"/>
      <c r="O1326"/>
      <c r="P1326" t="inlineStr">
        <is>
          <t xml:space="preserve">2004452902095</t>
        </is>
      </c>
      <c r="Q1326" s="3" t="str">
        <f>HYPERLINK("https://modify.by/img/35304035/1.webp","фото")</f>
        <v>фото</v>
      </c>
      <c r="R1326" s="3" t="str">
        <f>HYPERLINK("https://modify.by/catalog/shorty/35304035/?utm_source=price&amp;utm_medium=xlsx","открыть")</f>
        <v>открыть</v>
      </c>
    </row>
    <row r="1327">
      <c r="A1327" t="inlineStr">
        <is>
          <t xml:space="preserve">Мужской</t>
        </is>
      </c>
      <c r="B1327" t="inlineStr">
        <is>
          <t xml:space="preserve">Шорты</t>
        </is>
      </c>
      <c r="C1327" t="inlineStr">
        <is>
          <t xml:space="preserve">Шорты классические, серый</t>
        </is>
      </c>
      <c r="D1327" t="inlineStr">
        <is>
          <t xml:space="preserve">BR12M06Серый</t>
        </is>
      </c>
      <c r="E1327" t="inlineStr">
        <is>
          <t xml:space="preserve">серый</t>
        </is>
      </c>
      <c r="F1327" t="inlineStr">
        <is>
          <t xml:space="preserve">44-46</t>
        </is>
      </c>
      <c r="G1327">
        <v>1</v>
      </c>
      <c r="H1327" s="2">
        <v>31.0</v>
      </c>
      <c r="I1327" t="inlineStr">
        <is>
          <t xml:space="preserve">ПОЛИЭСТЕР 62% ВИСКОЗА 33% ЭЛАСТАН 5%</t>
        </is>
      </c>
      <c r="J1327"/>
      <c r="K1327" t="inlineStr">
        <is>
          <t xml:space="preserve">Бангладеш</t>
        </is>
      </c>
      <c r="L1327" t="inlineStr">
        <is>
          <t xml:space="preserve">6204639000</t>
        </is>
      </c>
      <c r="M1327" t="inlineStr">
        <is>
          <t xml:space="preserve">по запросу</t>
        </is>
      </c>
      <c r="N1327"/>
      <c r="O1327"/>
      <c r="P1327" t="inlineStr">
        <is>
          <t xml:space="preserve">2004452902071</t>
        </is>
      </c>
      <c r="Q1327" s="3" t="str">
        <f>HYPERLINK("https://modify.by/img/35304035/1.webp","фото")</f>
        <v>фото</v>
      </c>
      <c r="R1327" s="3" t="str">
        <f>HYPERLINK("https://modify.by/catalog/shorty/35304035/?utm_source=price&amp;utm_medium=xlsx","открыть")</f>
        <v>открыть</v>
      </c>
    </row>
    <row r="1328">
      <c r="A1328" t="inlineStr">
        <is>
          <t xml:space="preserve">Мужской</t>
        </is>
      </c>
      <c r="B1328" t="inlineStr">
        <is>
          <t xml:space="preserve">Шорты</t>
        </is>
      </c>
      <c r="C1328" t="inlineStr">
        <is>
          <t xml:space="preserve">Шорты классические, серый</t>
        </is>
      </c>
      <c r="D1328" t="inlineStr">
        <is>
          <t xml:space="preserve">BR12M06Серый</t>
        </is>
      </c>
      <c r="E1328" t="inlineStr">
        <is>
          <t xml:space="preserve">серый</t>
        </is>
      </c>
      <c r="F1328" t="inlineStr">
        <is>
          <t xml:space="preserve">48-50</t>
        </is>
      </c>
      <c r="G1328">
        <v>2</v>
      </c>
      <c r="H1328" s="2">
        <v>31.0</v>
      </c>
      <c r="I1328" t="inlineStr">
        <is>
          <t xml:space="preserve">ПОЛИЭСТЕР 62% ВИСКОЗА 33% ЭЛАСТАН 5%</t>
        </is>
      </c>
      <c r="J1328"/>
      <c r="K1328" t="inlineStr">
        <is>
          <t xml:space="preserve">Бангладеш</t>
        </is>
      </c>
      <c r="L1328" t="inlineStr">
        <is>
          <t xml:space="preserve">6204639000</t>
        </is>
      </c>
      <c r="M1328" t="inlineStr">
        <is>
          <t xml:space="preserve">по запросу</t>
        </is>
      </c>
      <c r="N1328"/>
      <c r="O1328"/>
      <c r="P1328" t="inlineStr">
        <is>
          <t xml:space="preserve">2004452902057</t>
        </is>
      </c>
      <c r="Q1328" s="3" t="str">
        <f>HYPERLINK("https://modify.by/img/35304035/1.webp","фото")</f>
        <v>фото</v>
      </c>
      <c r="R1328" s="3" t="str">
        <f>HYPERLINK("https://modify.by/catalog/shorty/35304035/?utm_source=price&amp;utm_medium=xlsx","открыть")</f>
        <v>открыть</v>
      </c>
    </row>
    <row r="1329">
      <c r="A1329" t="inlineStr">
        <is>
          <t xml:space="preserve">Мужской</t>
        </is>
      </c>
      <c r="B1329" t="inlineStr">
        <is>
          <t xml:space="preserve">Шорты</t>
        </is>
      </c>
      <c r="C1329" t="inlineStr">
        <is>
          <t xml:space="preserve">Шорты классические, темно-зеленый</t>
        </is>
      </c>
      <c r="D1329" t="inlineStr">
        <is>
          <t xml:space="preserve">BR12M06Темно-зеленый</t>
        </is>
      </c>
      <c r="E1329" t="inlineStr">
        <is>
          <t xml:space="preserve">темно-зеленый</t>
        </is>
      </c>
      <c r="F1329" t="inlineStr">
        <is>
          <t xml:space="preserve">40-42</t>
        </is>
      </c>
      <c r="G1329">
        <v>2</v>
      </c>
      <c r="H1329" s="2">
        <v>31.0</v>
      </c>
      <c r="I1329" t="inlineStr">
        <is>
          <t xml:space="preserve">ПОЛИЭСТЕР 62% ВИСКОЗА 33% ЭЛАСТАН 5%</t>
        </is>
      </c>
      <c r="J1329"/>
      <c r="K1329" t="inlineStr">
        <is>
          <t xml:space="preserve">Бангладеш</t>
        </is>
      </c>
      <c r="L1329" t="inlineStr">
        <is>
          <t xml:space="preserve">6204639000</t>
        </is>
      </c>
      <c r="M1329" t="inlineStr">
        <is>
          <t xml:space="preserve">по запросу</t>
        </is>
      </c>
      <c r="N1329"/>
      <c r="O1329"/>
      <c r="P1329" t="inlineStr">
        <is>
          <t xml:space="preserve">2004452902255</t>
        </is>
      </c>
      <c r="Q1329" s="3" t="str">
        <f>HYPERLINK("https://modify.by/img/35304036/1.webp","фото")</f>
        <v>фото</v>
      </c>
      <c r="R1329" s="3" t="str">
        <f>HYPERLINK("https://modify.by/catalog/shorty/35304036/?utm_source=price&amp;utm_medium=xlsx","открыть")</f>
        <v>открыть</v>
      </c>
    </row>
    <row r="1330">
      <c r="A1330" t="inlineStr">
        <is>
          <t xml:space="preserve">Мужской</t>
        </is>
      </c>
      <c r="B1330" t="inlineStr">
        <is>
          <t xml:space="preserve">Шорты</t>
        </is>
      </c>
      <c r="C1330" t="inlineStr">
        <is>
          <t xml:space="preserve">Шорты классические, темно-зеленый</t>
        </is>
      </c>
      <c r="D1330" t="inlineStr">
        <is>
          <t xml:space="preserve">BR12M06Темно-зеленый</t>
        </is>
      </c>
      <c r="E1330" t="inlineStr">
        <is>
          <t xml:space="preserve">темно-зеленый</t>
        </is>
      </c>
      <c r="F1330" t="inlineStr">
        <is>
          <t xml:space="preserve">42-44</t>
        </is>
      </c>
      <c r="G1330">
        <v>1</v>
      </c>
      <c r="H1330" s="2">
        <v>31.0</v>
      </c>
      <c r="I1330" t="inlineStr">
        <is>
          <t xml:space="preserve">ПОЛИЭСТЕР 62% ВИСКОЗА 33% ЭЛАСТАН 5%</t>
        </is>
      </c>
      <c r="J1330"/>
      <c r="K1330" t="inlineStr">
        <is>
          <t xml:space="preserve">Бангладеш</t>
        </is>
      </c>
      <c r="L1330" t="inlineStr">
        <is>
          <t xml:space="preserve">6204639000</t>
        </is>
      </c>
      <c r="M1330" t="inlineStr">
        <is>
          <t xml:space="preserve">по запросу</t>
        </is>
      </c>
      <c r="N1330"/>
      <c r="O1330"/>
      <c r="P1330" t="inlineStr">
        <is>
          <t xml:space="preserve">2004452902248</t>
        </is>
      </c>
      <c r="Q1330" s="3" t="str">
        <f>HYPERLINK("https://modify.by/img/35304036/1.webp","фото")</f>
        <v>фото</v>
      </c>
      <c r="R1330" s="3" t="str">
        <f>HYPERLINK("https://modify.by/catalog/shorty/35304036/?utm_source=price&amp;utm_medium=xlsx","открыть")</f>
        <v>открыть</v>
      </c>
    </row>
    <row r="1331">
      <c r="A1331" t="inlineStr">
        <is>
          <t xml:space="preserve">Мужской</t>
        </is>
      </c>
      <c r="B1331" t="inlineStr">
        <is>
          <t xml:space="preserve">Шорты</t>
        </is>
      </c>
      <c r="C1331" t="inlineStr">
        <is>
          <t xml:space="preserve">Шорты летние Бермуды, зеленый</t>
        </is>
      </c>
      <c r="D1331" t="inlineStr">
        <is>
          <t xml:space="preserve">BE42M03зеленый</t>
        </is>
      </c>
      <c r="E1331" t="inlineStr">
        <is>
          <t xml:space="preserve">зеленый</t>
        </is>
      </c>
      <c r="F1331" t="inlineStr">
        <is>
          <t xml:space="preserve">48</t>
        </is>
      </c>
      <c r="G1331">
        <v>33</v>
      </c>
      <c r="H1331" s="2">
        <v>32.0</v>
      </c>
      <c r="I1331" t="inlineStr">
        <is>
          <t xml:space="preserve">хлопок, вискоза</t>
        </is>
      </c>
      <c r="J1331"/>
      <c r="K1331" t="inlineStr">
        <is>
          <t xml:space="preserve">Бангладеш</t>
        </is>
      </c>
      <c r="L1331" t="inlineStr">
        <is>
          <t xml:space="preserve">6203429000</t>
        </is>
      </c>
      <c r="M1331" t="inlineStr">
        <is>
          <t xml:space="preserve">Декларация № ЕАЭС № BY/112 11.01. ТР017 122.01 08246, до 19.04.2028</t>
        </is>
      </c>
      <c r="N1331" t="inlineStr">
        <is>
          <t xml:space="preserve">33 × 25 × 2</t>
        </is>
      </c>
      <c r="O1331" t="inlineStr">
        <is>
          <t xml:space="preserve">0,25</t>
        </is>
      </c>
      <c r="P1331" t="inlineStr">
        <is>
          <t xml:space="preserve">4816148107114</t>
        </is>
      </c>
      <c r="Q1331" s="3" t="str">
        <f>HYPERLINK("https://modify.by/img/243036310/1.webp","фото")</f>
        <v>фото</v>
      </c>
      <c r="R1331" s="3" t="str">
        <f>HYPERLINK("https://modify.by/catalog/shorty/243036310/?utm_source=price&amp;utm_medium=xlsx","открыть")</f>
        <v>открыть</v>
      </c>
    </row>
    <row r="1332">
      <c r="A1332" t="inlineStr">
        <is>
          <t xml:space="preserve">Мужской</t>
        </is>
      </c>
      <c r="B1332" t="inlineStr">
        <is>
          <t xml:space="preserve">Шорты</t>
        </is>
      </c>
      <c r="C1332" t="inlineStr">
        <is>
          <t xml:space="preserve">Шорты летние Бермуды, зеленый</t>
        </is>
      </c>
      <c r="D1332" t="inlineStr">
        <is>
          <t xml:space="preserve">BE42M03зеленый</t>
        </is>
      </c>
      <c r="E1332" t="inlineStr">
        <is>
          <t xml:space="preserve">зеленый</t>
        </is>
      </c>
      <c r="F1332" t="inlineStr">
        <is>
          <t xml:space="preserve">50</t>
        </is>
      </c>
      <c r="G1332">
        <v>13</v>
      </c>
      <c r="H1332" s="2">
        <v>32.0</v>
      </c>
      <c r="I1332" t="inlineStr">
        <is>
          <t xml:space="preserve">хлопок, вискоза</t>
        </is>
      </c>
      <c r="J1332"/>
      <c r="K1332" t="inlineStr">
        <is>
          <t xml:space="preserve">Бангладеш</t>
        </is>
      </c>
      <c r="L1332" t="inlineStr">
        <is>
          <t xml:space="preserve">6203429000</t>
        </is>
      </c>
      <c r="M1332" t="inlineStr">
        <is>
          <t xml:space="preserve">Декларация № ЕАЭС № BY/112 11.01. ТР017 122.01 08246, до 19.04.2028</t>
        </is>
      </c>
      <c r="N1332" t="inlineStr">
        <is>
          <t xml:space="preserve">33 × 25 × 2</t>
        </is>
      </c>
      <c r="O1332" t="inlineStr">
        <is>
          <t xml:space="preserve">0,25</t>
        </is>
      </c>
      <c r="P1332" t="inlineStr">
        <is>
          <t xml:space="preserve">4816148107121</t>
        </is>
      </c>
      <c r="Q1332" s="3" t="str">
        <f>HYPERLINK("https://modify.by/img/243036310/1.webp","фото")</f>
        <v>фото</v>
      </c>
      <c r="R1332" s="3" t="str">
        <f>HYPERLINK("https://modify.by/catalog/shorty/243036310/?utm_source=price&amp;utm_medium=xlsx","открыть")</f>
        <v>открыть</v>
      </c>
    </row>
    <row r="1333">
      <c r="A1333" t="inlineStr">
        <is>
          <t xml:space="preserve">Мужской</t>
        </is>
      </c>
      <c r="B1333" t="inlineStr">
        <is>
          <t xml:space="preserve">Шорты</t>
        </is>
      </c>
      <c r="C1333" t="inlineStr">
        <is>
          <t xml:space="preserve">Шорты летние Бермуды, коричневый</t>
        </is>
      </c>
      <c r="D1333" t="inlineStr">
        <is>
          <t xml:space="preserve">BE42M03коричневый</t>
        </is>
      </c>
      <c r="E1333" t="inlineStr">
        <is>
          <t xml:space="preserve">коричневый</t>
        </is>
      </c>
      <c r="F1333" t="inlineStr">
        <is>
          <t xml:space="preserve">46</t>
        </is>
      </c>
      <c r="G1333">
        <v>4</v>
      </c>
      <c r="H1333" s="2">
        <v>32.0</v>
      </c>
      <c r="I1333" t="inlineStr">
        <is>
          <t xml:space="preserve">хлопок, вискоза</t>
        </is>
      </c>
      <c r="J1333"/>
      <c r="K1333" t="inlineStr">
        <is>
          <t xml:space="preserve">Бангладеш</t>
        </is>
      </c>
      <c r="L1333" t="inlineStr">
        <is>
          <t xml:space="preserve">6203429000</t>
        </is>
      </c>
      <c r="M1333" t="inlineStr">
        <is>
          <t xml:space="preserve">Декларация № ЕАЭС № BY/112 11.01. ТР017 122.01 08246, до 19.04.2028</t>
        </is>
      </c>
      <c r="N1333" t="inlineStr">
        <is>
          <t xml:space="preserve">33 × 25 × 2</t>
        </is>
      </c>
      <c r="O1333" t="inlineStr">
        <is>
          <t xml:space="preserve">0,25</t>
        </is>
      </c>
      <c r="P1333" t="inlineStr">
        <is>
          <t xml:space="preserve">4816148107169</t>
        </is>
      </c>
      <c r="Q1333" s="3" t="str">
        <f>HYPERLINK("https://modify.by/img/243036309/1.webp","фото")</f>
        <v>фото</v>
      </c>
      <c r="R1333" s="3" t="str">
        <f>HYPERLINK("https://modify.by/catalog/shorty/243036309/?utm_source=price&amp;utm_medium=xlsx","открыть")</f>
        <v>открыть</v>
      </c>
    </row>
    <row r="1334">
      <c r="A1334" t="inlineStr">
        <is>
          <t xml:space="preserve">Мужской</t>
        </is>
      </c>
      <c r="B1334" t="inlineStr">
        <is>
          <t xml:space="preserve">Шорты</t>
        </is>
      </c>
      <c r="C1334" t="inlineStr">
        <is>
          <t xml:space="preserve">Шорты летние Бермуды, коричневый</t>
        </is>
      </c>
      <c r="D1334" t="inlineStr">
        <is>
          <t xml:space="preserve">BE42M03коричневый</t>
        </is>
      </c>
      <c r="E1334" t="inlineStr">
        <is>
          <t xml:space="preserve">коричневый</t>
        </is>
      </c>
      <c r="F1334" t="inlineStr">
        <is>
          <t xml:space="preserve">48</t>
        </is>
      </c>
      <c r="G1334">
        <v>40</v>
      </c>
      <c r="H1334" s="2">
        <v>32.0</v>
      </c>
      <c r="I1334" t="inlineStr">
        <is>
          <t xml:space="preserve">хлопок, вискоза</t>
        </is>
      </c>
      <c r="J1334"/>
      <c r="K1334" t="inlineStr">
        <is>
          <t xml:space="preserve">Бангладеш</t>
        </is>
      </c>
      <c r="L1334" t="inlineStr">
        <is>
          <t xml:space="preserve">6203429000</t>
        </is>
      </c>
      <c r="M1334" t="inlineStr">
        <is>
          <t xml:space="preserve">Декларация № ЕАЭС № BY/112 11.01. ТР017 122.01 08246, до 19.04.2028</t>
        </is>
      </c>
      <c r="N1334" t="inlineStr">
        <is>
          <t xml:space="preserve">33 × 25 × 2</t>
        </is>
      </c>
      <c r="O1334" t="inlineStr">
        <is>
          <t xml:space="preserve">0,25</t>
        </is>
      </c>
      <c r="P1334" t="inlineStr">
        <is>
          <t xml:space="preserve">4816148107176</t>
        </is>
      </c>
      <c r="Q1334" s="3" t="str">
        <f>HYPERLINK("https://modify.by/img/243036309/1.webp","фото")</f>
        <v>фото</v>
      </c>
      <c r="R1334" s="3" t="str">
        <f>HYPERLINK("https://modify.by/catalog/shorty/243036309/?utm_source=price&amp;utm_medium=xlsx","открыть")</f>
        <v>открыть</v>
      </c>
    </row>
    <row r="1335">
      <c r="A1335" t="inlineStr">
        <is>
          <t xml:space="preserve">Мужской</t>
        </is>
      </c>
      <c r="B1335" t="inlineStr">
        <is>
          <t xml:space="preserve">Шорты</t>
        </is>
      </c>
      <c r="C1335" t="inlineStr">
        <is>
          <t xml:space="preserve">Шорты летние Бермуды, коричневый</t>
        </is>
      </c>
      <c r="D1335" t="inlineStr">
        <is>
          <t xml:space="preserve">BE42M03коричневый</t>
        </is>
      </c>
      <c r="E1335" t="inlineStr">
        <is>
          <t xml:space="preserve">коричневый</t>
        </is>
      </c>
      <c r="F1335" t="inlineStr">
        <is>
          <t xml:space="preserve">50</t>
        </is>
      </c>
      <c r="G1335">
        <v>7</v>
      </c>
      <c r="H1335" s="2">
        <v>32.0</v>
      </c>
      <c r="I1335" t="inlineStr">
        <is>
          <t xml:space="preserve">хлопок, вискоза</t>
        </is>
      </c>
      <c r="J1335"/>
      <c r="K1335" t="inlineStr">
        <is>
          <t xml:space="preserve">Бангладеш</t>
        </is>
      </c>
      <c r="L1335" t="inlineStr">
        <is>
          <t xml:space="preserve">6203429000</t>
        </is>
      </c>
      <c r="M1335" t="inlineStr">
        <is>
          <t xml:space="preserve">Декларация № ЕАЭС № BY/112 11.01. ТР017 122.01 08246, до 19.04.2028</t>
        </is>
      </c>
      <c r="N1335" t="inlineStr">
        <is>
          <t xml:space="preserve">33 × 25 × 2</t>
        </is>
      </c>
      <c r="O1335" t="inlineStr">
        <is>
          <t xml:space="preserve">0,25</t>
        </is>
      </c>
      <c r="P1335" t="inlineStr">
        <is>
          <t xml:space="preserve">4816148107183</t>
        </is>
      </c>
      <c r="Q1335" s="3" t="str">
        <f>HYPERLINK("https://modify.by/img/243036309/1.webp","фото")</f>
        <v>фото</v>
      </c>
      <c r="R1335" s="3" t="str">
        <f>HYPERLINK("https://modify.by/catalog/shorty/243036309/?utm_source=price&amp;utm_medium=xlsx","открыть")</f>
        <v>открыть</v>
      </c>
    </row>
    <row r="1336">
      <c r="A1336" t="inlineStr">
        <is>
          <t xml:space="preserve">Мужской</t>
        </is>
      </c>
      <c r="B1336" t="inlineStr">
        <is>
          <t xml:space="preserve">Шорты</t>
        </is>
      </c>
      <c r="C1336" t="inlineStr">
        <is>
          <t xml:space="preserve">Шорты летние Бермуды, красно-розовый меланж</t>
        </is>
      </c>
      <c r="D1336" t="inlineStr">
        <is>
          <t xml:space="preserve">BE42M03красно-розовый</t>
        </is>
      </c>
      <c r="E1336" t="inlineStr">
        <is>
          <t xml:space="preserve">красно-розовый меланж</t>
        </is>
      </c>
      <c r="F1336" t="inlineStr">
        <is>
          <t xml:space="preserve">48</t>
        </is>
      </c>
      <c r="G1336">
        <v>26</v>
      </c>
      <c r="H1336" s="2">
        <v>32.0</v>
      </c>
      <c r="I1336" t="inlineStr">
        <is>
          <t xml:space="preserve">хлопок, вискоза</t>
        </is>
      </c>
      <c r="J1336" t="inlineStr">
        <is>
          <t xml:space="preserve">лето</t>
        </is>
      </c>
      <c r="K1336" t="inlineStr">
        <is>
          <t xml:space="preserve">Бангладеш</t>
        </is>
      </c>
      <c r="L1336" t="inlineStr">
        <is>
          <t xml:space="preserve">6203429000</t>
        </is>
      </c>
      <c r="M1336" t="inlineStr">
        <is>
          <t xml:space="preserve">Декларация № ЕАЭС № BY/112 11.01. ТР017 122.01 08246, до 19.04.2028</t>
        </is>
      </c>
      <c r="N1336" t="inlineStr">
        <is>
          <t xml:space="preserve">33 × 25 × 2</t>
        </is>
      </c>
      <c r="O1336" t="inlineStr">
        <is>
          <t xml:space="preserve">0,25</t>
        </is>
      </c>
      <c r="P1336" t="inlineStr">
        <is>
          <t xml:space="preserve">4816148107237</t>
        </is>
      </c>
      <c r="Q1336" s="3" t="str">
        <f>HYPERLINK("https://modify.by/img/243058396/1.webp","фото")</f>
        <v>фото</v>
      </c>
      <c r="R1336" s="3" t="str">
        <f>HYPERLINK("https://modify.by/catalog/shorty/243058396/?utm_source=price&amp;utm_medium=xlsx","открыть")</f>
        <v>открыть</v>
      </c>
    </row>
    <row r="1337">
      <c r="A1337" t="inlineStr">
        <is>
          <t xml:space="preserve">Мужской</t>
        </is>
      </c>
      <c r="B1337" t="inlineStr">
        <is>
          <t xml:space="preserve">Шорты</t>
        </is>
      </c>
      <c r="C1337" t="inlineStr">
        <is>
          <t xml:space="preserve">Шорты летние Бермуды, красно-розовый меланж</t>
        </is>
      </c>
      <c r="D1337" t="inlineStr">
        <is>
          <t xml:space="preserve">BE42M03красно-розовый</t>
        </is>
      </c>
      <c r="E1337" t="inlineStr">
        <is>
          <t xml:space="preserve">красно-розовый меланж</t>
        </is>
      </c>
      <c r="F1337" t="inlineStr">
        <is>
          <t xml:space="preserve">50</t>
        </is>
      </c>
      <c r="G1337">
        <v>34</v>
      </c>
      <c r="H1337" s="2">
        <v>32.0</v>
      </c>
      <c r="I1337" t="inlineStr">
        <is>
          <t xml:space="preserve">хлопок, вискоза</t>
        </is>
      </c>
      <c r="J1337" t="inlineStr">
        <is>
          <t xml:space="preserve">лето</t>
        </is>
      </c>
      <c r="K1337" t="inlineStr">
        <is>
          <t xml:space="preserve">Бангладеш</t>
        </is>
      </c>
      <c r="L1337" t="inlineStr">
        <is>
          <t xml:space="preserve">6203429000</t>
        </is>
      </c>
      <c r="M1337" t="inlineStr">
        <is>
          <t xml:space="preserve">Декларация № ЕАЭС № BY/112 11.01. ТР017 122.01 08246, до 19.04.2028</t>
        </is>
      </c>
      <c r="N1337" t="inlineStr">
        <is>
          <t xml:space="preserve">33 × 25 × 2</t>
        </is>
      </c>
      <c r="O1337" t="inlineStr">
        <is>
          <t xml:space="preserve">0,25</t>
        </is>
      </c>
      <c r="P1337" t="inlineStr">
        <is>
          <t xml:space="preserve">4816148107244</t>
        </is>
      </c>
      <c r="Q1337" s="3" t="str">
        <f>HYPERLINK("https://modify.by/img/243058396/1.webp","фото")</f>
        <v>фото</v>
      </c>
      <c r="R1337" s="3" t="str">
        <f>HYPERLINK("https://modify.by/catalog/shorty/243058396/?utm_source=price&amp;utm_medium=xlsx","открыть")</f>
        <v>открыть</v>
      </c>
    </row>
    <row r="1338">
      <c r="A1338" t="inlineStr">
        <is>
          <t xml:space="preserve">Мужской</t>
        </is>
      </c>
      <c r="B1338" t="inlineStr">
        <is>
          <t xml:space="preserve">Шорты</t>
        </is>
      </c>
      <c r="C1338" t="inlineStr">
        <is>
          <t xml:space="preserve">Шорты летние Бермуды, светло-зеленый</t>
        </is>
      </c>
      <c r="D1338" t="inlineStr">
        <is>
          <t xml:space="preserve">BE42M03светло-зеленый</t>
        </is>
      </c>
      <c r="E1338" t="inlineStr">
        <is>
          <t xml:space="preserve">светло-зеленый</t>
        </is>
      </c>
      <c r="F1338" t="inlineStr">
        <is>
          <t xml:space="preserve">48</t>
        </is>
      </c>
      <c r="G1338">
        <v>11</v>
      </c>
      <c r="H1338" s="2">
        <v>32.0</v>
      </c>
      <c r="I1338" t="inlineStr">
        <is>
          <t xml:space="preserve">хлопок, вискоза</t>
        </is>
      </c>
      <c r="J1338"/>
      <c r="K1338" t="inlineStr">
        <is>
          <t xml:space="preserve">Бангладеш</t>
        </is>
      </c>
      <c r="L1338" t="inlineStr">
        <is>
          <t xml:space="preserve">6203429000</t>
        </is>
      </c>
      <c r="M1338" t="inlineStr">
        <is>
          <t xml:space="preserve">Декларация № ЕАЭС № BY/112 11.01. ТР017 122.01 08246, до 19.04.2028</t>
        </is>
      </c>
      <c r="N1338" t="inlineStr">
        <is>
          <t xml:space="preserve">33 × 25 × 2</t>
        </is>
      </c>
      <c r="O1338" t="inlineStr">
        <is>
          <t xml:space="preserve">0,25</t>
        </is>
      </c>
      <c r="P1338" t="inlineStr">
        <is>
          <t xml:space="preserve">4816148107428</t>
        </is>
      </c>
      <c r="Q1338" s="3" t="str">
        <f>HYPERLINK("https://modify.by/img/243036320/1.webp","фото")</f>
        <v>фото</v>
      </c>
      <c r="R1338" s="3" t="str">
        <f>HYPERLINK("https://modify.by/catalog/shorty/243036320/?utm_source=price&amp;utm_medium=xlsx","открыть")</f>
        <v>открыть</v>
      </c>
    </row>
    <row r="1339">
      <c r="A1339" t="inlineStr">
        <is>
          <t xml:space="preserve">Мужской</t>
        </is>
      </c>
      <c r="B1339" t="inlineStr">
        <is>
          <t xml:space="preserve">Шорты</t>
        </is>
      </c>
      <c r="C1339" t="inlineStr">
        <is>
          <t xml:space="preserve">Шорты летние Бермуды, серый</t>
        </is>
      </c>
      <c r="D1339" t="inlineStr">
        <is>
          <t xml:space="preserve">BE42M03серый</t>
        </is>
      </c>
      <c r="E1339" t="inlineStr">
        <is>
          <t xml:space="preserve">серый</t>
        </is>
      </c>
      <c r="F1339" t="inlineStr">
        <is>
          <t xml:space="preserve">48</t>
        </is>
      </c>
      <c r="G1339">
        <v>18</v>
      </c>
      <c r="H1339" s="2">
        <v>32.0</v>
      </c>
      <c r="I1339" t="inlineStr">
        <is>
          <t xml:space="preserve">хлопок, вискоза</t>
        </is>
      </c>
      <c r="J1339"/>
      <c r="K1339" t="inlineStr">
        <is>
          <t xml:space="preserve">Бангладеш</t>
        </is>
      </c>
      <c r="L1339" t="inlineStr">
        <is>
          <t xml:space="preserve">6203429000</t>
        </is>
      </c>
      <c r="M1339" t="inlineStr">
        <is>
          <t xml:space="preserve">Декларация № ЕАЭС № BY/112 11.01. ТР017 122.01 08246, до 19.04.2028</t>
        </is>
      </c>
      <c r="N1339" t="inlineStr">
        <is>
          <t xml:space="preserve">33 × 25 × 2</t>
        </is>
      </c>
      <c r="O1339" t="inlineStr">
        <is>
          <t xml:space="preserve">0,25</t>
        </is>
      </c>
      <c r="P1339" t="inlineStr">
        <is>
          <t xml:space="preserve">4816148107381</t>
        </is>
      </c>
      <c r="Q1339" s="3" t="str">
        <f>HYPERLINK("https://modify.by/img/243036317/1.webp","фото")</f>
        <v>фото</v>
      </c>
      <c r="R1339" s="3" t="str">
        <f>HYPERLINK("https://modify.by/catalog/shorty/243036317/?utm_source=price&amp;utm_medium=xlsx","открыть")</f>
        <v>открыть</v>
      </c>
    </row>
    <row r="1340">
      <c r="A1340" t="inlineStr">
        <is>
          <t xml:space="preserve">Мужской</t>
        </is>
      </c>
      <c r="B1340" t="inlineStr">
        <is>
          <t xml:space="preserve">Шорты</t>
        </is>
      </c>
      <c r="C1340" t="inlineStr">
        <is>
          <t xml:space="preserve">Шорты летние Бермуды, серый</t>
        </is>
      </c>
      <c r="D1340" t="inlineStr">
        <is>
          <t xml:space="preserve">BE42M03серый</t>
        </is>
      </c>
      <c r="E1340" t="inlineStr">
        <is>
          <t xml:space="preserve">серый</t>
        </is>
      </c>
      <c r="F1340" t="inlineStr">
        <is>
          <t xml:space="preserve">50</t>
        </is>
      </c>
      <c r="G1340">
        <v>50</v>
      </c>
      <c r="H1340" s="2">
        <v>32.0</v>
      </c>
      <c r="I1340" t="inlineStr">
        <is>
          <t xml:space="preserve">хлопок, вискоза</t>
        </is>
      </c>
      <c r="J1340"/>
      <c r="K1340" t="inlineStr">
        <is>
          <t xml:space="preserve">Бангладеш</t>
        </is>
      </c>
      <c r="L1340" t="inlineStr">
        <is>
          <t xml:space="preserve">6203429000</t>
        </is>
      </c>
      <c r="M1340" t="inlineStr">
        <is>
          <t xml:space="preserve">Декларация № ЕАЭС № BY/112 11.01. ТР017 122.01 08246, до 19.04.2028</t>
        </is>
      </c>
      <c r="N1340" t="inlineStr">
        <is>
          <t xml:space="preserve">33 × 25 × 2</t>
        </is>
      </c>
      <c r="O1340" t="inlineStr">
        <is>
          <t xml:space="preserve">0,25</t>
        </is>
      </c>
      <c r="P1340" t="inlineStr">
        <is>
          <t xml:space="preserve">4816148107398</t>
        </is>
      </c>
      <c r="Q1340" s="3" t="str">
        <f>HYPERLINK("https://modify.by/img/243036317/1.webp","фото")</f>
        <v>фото</v>
      </c>
      <c r="R1340" s="3" t="str">
        <f>HYPERLINK("https://modify.by/catalog/shorty/243036317/?utm_source=price&amp;utm_medium=xlsx","открыть")</f>
        <v>открыть</v>
      </c>
    </row>
    <row r="1341">
      <c r="A1341" t="inlineStr">
        <is>
          <t xml:space="preserve">Мужской</t>
        </is>
      </c>
      <c r="B1341" t="inlineStr">
        <is>
          <t xml:space="preserve">Шорты</t>
        </is>
      </c>
      <c r="C1341" t="inlineStr">
        <is>
          <t xml:space="preserve">Шорты летние Бермуды, темно-синий</t>
        </is>
      </c>
      <c r="D1341" t="inlineStr">
        <is>
          <t xml:space="preserve">BE42M03темно-синий</t>
        </is>
      </c>
      <c r="E1341" t="inlineStr">
        <is>
          <t xml:space="preserve">темно-синий</t>
        </is>
      </c>
      <c r="F1341" t="inlineStr">
        <is>
          <t xml:space="preserve">48</t>
        </is>
      </c>
      <c r="G1341">
        <v>9</v>
      </c>
      <c r="H1341" s="2">
        <v>32.0</v>
      </c>
      <c r="I1341" t="inlineStr">
        <is>
          <t xml:space="preserve">хлопок, вискоза</t>
        </is>
      </c>
      <c r="J1341"/>
      <c r="K1341" t="inlineStr">
        <is>
          <t xml:space="preserve">Бангладеш</t>
        </is>
      </c>
      <c r="L1341" t="inlineStr">
        <is>
          <t xml:space="preserve">6203429000</t>
        </is>
      </c>
      <c r="M1341" t="inlineStr">
        <is>
          <t xml:space="preserve">Декларация № ЕАЭС № BY/112 11.01. ТР017 122.01 08246, до 19.04.2028</t>
        </is>
      </c>
      <c r="N1341" t="inlineStr">
        <is>
          <t xml:space="preserve">33 × 25 × 2</t>
        </is>
      </c>
      <c r="O1341" t="inlineStr">
        <is>
          <t xml:space="preserve">0,25</t>
        </is>
      </c>
      <c r="P1341" t="inlineStr">
        <is>
          <t xml:space="preserve">4816148107206</t>
        </is>
      </c>
      <c r="Q1341" s="3" t="str">
        <f>HYPERLINK("https://modify.by/img/243036311/1.webp","фото")</f>
        <v>фото</v>
      </c>
      <c r="R1341" s="3" t="str">
        <f>HYPERLINK("https://modify.by/catalog/shorty/243036311/?utm_source=price&amp;utm_medium=xlsx","открыть")</f>
        <v>открыть</v>
      </c>
    </row>
    <row r="1342">
      <c r="A1342" t="inlineStr">
        <is>
          <t xml:space="preserve">Мужской</t>
        </is>
      </c>
      <c r="B1342" t="inlineStr">
        <is>
          <t xml:space="preserve">Шорты</t>
        </is>
      </c>
      <c r="C1342" t="inlineStr">
        <is>
          <t xml:space="preserve">Шорты летние Бермуды, темно-синий</t>
        </is>
      </c>
      <c r="D1342" t="inlineStr">
        <is>
          <t xml:space="preserve">BE42M03темно-синий</t>
        </is>
      </c>
      <c r="E1342" t="inlineStr">
        <is>
          <t xml:space="preserve">темно-синий</t>
        </is>
      </c>
      <c r="F1342" t="inlineStr">
        <is>
          <t xml:space="preserve">50</t>
        </is>
      </c>
      <c r="G1342">
        <v>20</v>
      </c>
      <c r="H1342" s="2">
        <v>32.0</v>
      </c>
      <c r="I1342" t="inlineStr">
        <is>
          <t xml:space="preserve">хлопок, вискоза</t>
        </is>
      </c>
      <c r="J1342"/>
      <c r="K1342" t="inlineStr">
        <is>
          <t xml:space="preserve">Бангладеш</t>
        </is>
      </c>
      <c r="L1342" t="inlineStr">
        <is>
          <t xml:space="preserve">6203429000</t>
        </is>
      </c>
      <c r="M1342" t="inlineStr">
        <is>
          <t xml:space="preserve">Декларация № ЕАЭС № BY/112 11.01. ТР017 122.01 08246, до 19.04.2028</t>
        </is>
      </c>
      <c r="N1342" t="inlineStr">
        <is>
          <t xml:space="preserve">33 × 25 × 2</t>
        </is>
      </c>
      <c r="O1342" t="inlineStr">
        <is>
          <t xml:space="preserve">0,25</t>
        </is>
      </c>
      <c r="P1342" t="inlineStr">
        <is>
          <t xml:space="preserve">4816148107213</t>
        </is>
      </c>
      <c r="Q1342" s="3" t="str">
        <f>HYPERLINK("https://modify.by/img/243036311/1.webp","фото")</f>
        <v>фото</v>
      </c>
      <c r="R1342" s="3" t="str">
        <f>HYPERLINK("https://modify.by/catalog/shorty/243036311/?utm_source=price&amp;utm_medium=xlsx","открыть")</f>
        <v>открыть</v>
      </c>
    </row>
    <row r="1343">
      <c r="A1343" t="inlineStr">
        <is>
          <t xml:space="preserve">Мужской</t>
        </is>
      </c>
      <c r="B1343" t="inlineStr">
        <is>
          <t xml:space="preserve">Шорты</t>
        </is>
      </c>
      <c r="C1343" t="inlineStr">
        <is>
          <t xml:space="preserve">Шорты летние широкие на резинке</t>
        </is>
      </c>
      <c r="D1343" t="inlineStr">
        <is>
          <t xml:space="preserve">BE32M13светло-серый</t>
        </is>
      </c>
      <c r="E1343" t="inlineStr">
        <is>
          <t xml:space="preserve">светло-серый</t>
        </is>
      </c>
      <c r="F1343" t="inlineStr">
        <is>
          <t xml:space="preserve">46</t>
        </is>
      </c>
      <c r="G1343">
        <v>1</v>
      </c>
      <c r="H1343" s="2">
        <v>32.0</v>
      </c>
      <c r="I1343" t="inlineStr">
        <is>
          <t xml:space="preserve">хлопок 100%</t>
        </is>
      </c>
      <c r="J1343"/>
      <c r="K1343" t="inlineStr">
        <is>
          <t xml:space="preserve">Бангладеш</t>
        </is>
      </c>
      <c r="L1343" t="inlineStr">
        <is>
          <t xml:space="preserve">6203429000</t>
        </is>
      </c>
      <c r="M1343" t="inlineStr">
        <is>
          <t xml:space="preserve">Декларация № ЕАЭС № BY/112 11.01. ТР017 122.01 08246, до 19.04.2028</t>
        </is>
      </c>
      <c r="N1343" t="inlineStr">
        <is>
          <t xml:space="preserve">36 × 30 × 2</t>
        </is>
      </c>
      <c r="O1343" t="inlineStr">
        <is>
          <t xml:space="preserve">0,35</t>
        </is>
      </c>
      <c r="P1343" t="inlineStr">
        <is>
          <t xml:space="preserve">2038096202709</t>
        </is>
      </c>
      <c r="Q1343" s="3" t="str">
        <f>HYPERLINK("https://modify.by/img/208791067/1.webp","фото")</f>
        <v>фото</v>
      </c>
      <c r="R1343" s="3" t="str">
        <f>HYPERLINK("https://modify.by/catalog/shorty/208791067/?utm_source=price&amp;utm_medium=xlsx","открыть")</f>
        <v>открыть</v>
      </c>
    </row>
    <row r="1344">
      <c r="A1344" t="inlineStr">
        <is>
          <t xml:space="preserve">Мужской</t>
        </is>
      </c>
      <c r="B1344" t="inlineStr">
        <is>
          <t xml:space="preserve">Шорты</t>
        </is>
      </c>
      <c r="C1344" t="inlineStr">
        <is>
          <t xml:space="preserve">Шорты мужские карго с карманами тонкие</t>
        </is>
      </c>
      <c r="D1344" t="inlineStr">
        <is>
          <t xml:space="preserve">CA12M01*Темно-бежевый</t>
        </is>
      </c>
      <c r="E1344"/>
      <c r="F1344" t="inlineStr">
        <is>
          <t xml:space="preserve">54</t>
        </is>
      </c>
      <c r="G1344">
        <v>3</v>
      </c>
      <c r="H1344" s="2">
        <v>31.0</v>
      </c>
      <c r="I1344" t="inlineStr">
        <is>
          <t xml:space="preserve">хлопок 100%</t>
        </is>
      </c>
      <c r="J1344"/>
      <c r="K1344" t="inlineStr">
        <is>
          <t xml:space="preserve">Бангладеш</t>
        </is>
      </c>
      <c r="L1344" t="inlineStr">
        <is>
          <t xml:space="preserve">6204639000</t>
        </is>
      </c>
      <c r="M1344" t="inlineStr">
        <is>
          <t xml:space="preserve">по запросу</t>
        </is>
      </c>
      <c r="N1344"/>
      <c r="O1344"/>
      <c r="P1344" t="inlineStr">
        <is>
          <t xml:space="preserve">4816148179234</t>
        </is>
      </c>
      <c r="Q1344" s="3" t="str">
        <f>HYPERLINK("https://modify.by/img/77298361/1.webp","фото")</f>
        <v>фото</v>
      </c>
      <c r="R1344" s="3" t="str">
        <f>HYPERLINK("https://modify.by/catalog/shorty/77298361/?utm_source=price&amp;utm_medium=xlsx","открыть")</f>
        <v>открыть</v>
      </c>
    </row>
    <row r="1345">
      <c r="A1345" t="inlineStr">
        <is>
          <t xml:space="preserve">Мужской</t>
        </is>
      </c>
      <c r="B1345" t="inlineStr">
        <is>
          <t xml:space="preserve">Шорты</t>
        </is>
      </c>
      <c r="C1345" t="inlineStr">
        <is>
          <t xml:space="preserve">Шорты мужские карго с карманами тонкие</t>
        </is>
      </c>
      <c r="D1345" t="inlineStr">
        <is>
          <t xml:space="preserve">CA12M01*Темно-бежевый</t>
        </is>
      </c>
      <c r="E1345"/>
      <c r="F1345" t="inlineStr">
        <is>
          <t xml:space="preserve">54</t>
        </is>
      </c>
      <c r="G1345">
        <v>3</v>
      </c>
      <c r="H1345" s="2">
        <v>31.0</v>
      </c>
      <c r="I1345" t="inlineStr">
        <is>
          <t xml:space="preserve">хлопок 100%</t>
        </is>
      </c>
      <c r="J1345"/>
      <c r="K1345" t="inlineStr">
        <is>
          <t xml:space="preserve">Бангладеш</t>
        </is>
      </c>
      <c r="L1345" t="inlineStr">
        <is>
          <t xml:space="preserve">6204639000</t>
        </is>
      </c>
      <c r="M1345" t="inlineStr">
        <is>
          <t xml:space="preserve">по запросу</t>
        </is>
      </c>
      <c r="N1345"/>
      <c r="O1345"/>
      <c r="P1345" t="inlineStr">
        <is>
          <t xml:space="preserve">8595633714292</t>
        </is>
      </c>
      <c r="Q1345" s="3" t="str">
        <f>HYPERLINK("https://modify.by/img/77298361/1.webp","фото")</f>
        <v>фото</v>
      </c>
      <c r="R1345" s="3" t="str">
        <f>HYPERLINK("https://modify.by/catalog/shorty/77298361/?utm_source=price&amp;utm_medium=xlsx","открыть")</f>
        <v>открыть</v>
      </c>
    </row>
    <row r="1346">
      <c r="A1346" t="inlineStr">
        <is>
          <t xml:space="preserve">Мужской</t>
        </is>
      </c>
      <c r="B1346" t="inlineStr">
        <is>
          <t xml:space="preserve">Шорты</t>
        </is>
      </c>
      <c r="C1346" t="inlineStr">
        <is>
          <t xml:space="preserve">Шорты на резинке большие размеры длинные</t>
        </is>
      </c>
      <c r="D1346" t="inlineStr">
        <is>
          <t xml:space="preserve">BE32M121бежевый</t>
        </is>
      </c>
      <c r="E1346" t="inlineStr">
        <is>
          <t xml:space="preserve">бежевый</t>
        </is>
      </c>
      <c r="F1346" t="inlineStr">
        <is>
          <t xml:space="preserve">60</t>
        </is>
      </c>
      <c r="G1346">
        <v>1</v>
      </c>
      <c r="H1346" s="2">
        <v>43.0</v>
      </c>
      <c r="I1346" t="inlineStr">
        <is>
          <t xml:space="preserve">хлопок 100%</t>
        </is>
      </c>
      <c r="J1346"/>
      <c r="K1346" t="inlineStr">
        <is>
          <t xml:space="preserve">Бангладеш</t>
        </is>
      </c>
      <c r="L1346" t="inlineStr">
        <is>
          <t xml:space="preserve">6203429000</t>
        </is>
      </c>
      <c r="M1346" t="inlineStr">
        <is>
          <t xml:space="preserve">по запросу</t>
        </is>
      </c>
      <c r="N1346" t="inlineStr">
        <is>
          <t xml:space="preserve">35 × 28 × 3</t>
        </is>
      </c>
      <c r="O1346" t="inlineStr">
        <is>
          <t xml:space="preserve">0,35</t>
        </is>
      </c>
      <c r="P1346" t="inlineStr">
        <is>
          <t xml:space="preserve">2038096201320</t>
        </is>
      </c>
      <c r="Q1346" s="3" t="str">
        <f>HYPERLINK("https://modify.by/img/215519281/1.webp","фото")</f>
        <v>фото</v>
      </c>
      <c r="R1346" s="3" t="str">
        <f>HYPERLINK("https://modify.by/catalog/shorty/215519281/?utm_source=price&amp;utm_medium=xlsx","открыть")</f>
        <v>открыть</v>
      </c>
    </row>
    <row r="1347">
      <c r="A1347" t="inlineStr">
        <is>
          <t xml:space="preserve">Мужской</t>
        </is>
      </c>
      <c r="B1347" t="inlineStr">
        <is>
          <t xml:space="preserve">Шорты</t>
        </is>
      </c>
      <c r="C1347" t="inlineStr">
        <is>
          <t xml:space="preserve">Шорты плавательные</t>
        </is>
      </c>
      <c r="D1347" t="inlineStr">
        <is>
          <t xml:space="preserve">BS12M08Салатовый_93657582</t>
        </is>
      </c>
      <c r="E1347" t="inlineStr">
        <is>
          <t xml:space="preserve">салатовый</t>
        </is>
      </c>
      <c r="F1347" t="inlineStr">
        <is>
          <t xml:space="preserve">50</t>
        </is>
      </c>
      <c r="G1347">
        <v>1</v>
      </c>
      <c r="H1347" s="2">
        <v>22.0</v>
      </c>
      <c r="I1347" t="inlineStr">
        <is>
          <t xml:space="preserve">полиэстер 100%</t>
        </is>
      </c>
      <c r="J1347"/>
      <c r="K1347" t="inlineStr">
        <is>
          <t xml:space="preserve">Бангладеш</t>
        </is>
      </c>
      <c r="L1347" t="inlineStr">
        <is>
          <t xml:space="preserve">6103430001</t>
        </is>
      </c>
      <c r="M1347" t="inlineStr">
        <is>
          <t xml:space="preserve">Декларация № ЕАЭС № BY/112 11.01. ТР017 122.01 08246, до 19.04.2028</t>
        </is>
      </c>
      <c r="N1347" t="inlineStr">
        <is>
          <t xml:space="preserve">35 × 30 × 2</t>
        </is>
      </c>
      <c r="O1347" t="inlineStr">
        <is>
          <t xml:space="preserve">0,25</t>
        </is>
      </c>
      <c r="P1347" t="inlineStr">
        <is>
          <t xml:space="preserve">2004570323802</t>
        </is>
      </c>
      <c r="Q1347" s="3" t="str">
        <f>HYPERLINK("https://modify.by/img/93657582/1.webp","фото")</f>
        <v>фото</v>
      </c>
      <c r="R1347" s="3" t="str">
        <f>HYPERLINK("https://modify.by/catalog/shorty/93657582/?utm_source=price&amp;utm_medium=xlsx","открыть")</f>
        <v>открыть</v>
      </c>
    </row>
    <row r="1348">
      <c r="A1348" t="inlineStr">
        <is>
          <t xml:space="preserve">Мужской</t>
        </is>
      </c>
      <c r="B1348" t="inlineStr">
        <is>
          <t xml:space="preserve">Шорты</t>
        </is>
      </c>
      <c r="C1348" t="inlineStr">
        <is>
          <t xml:space="preserve">Шорты плавательные</t>
        </is>
      </c>
      <c r="D1348" t="inlineStr">
        <is>
          <t xml:space="preserve">BS12M08Салатовый_93657582</t>
        </is>
      </c>
      <c r="E1348" t="inlineStr">
        <is>
          <t xml:space="preserve">салатовый</t>
        </is>
      </c>
      <c r="F1348" t="inlineStr">
        <is>
          <t xml:space="preserve">52</t>
        </is>
      </c>
      <c r="G1348">
        <v>1</v>
      </c>
      <c r="H1348" s="2">
        <v>22.0</v>
      </c>
      <c r="I1348" t="inlineStr">
        <is>
          <t xml:space="preserve">полиэстер 100%</t>
        </is>
      </c>
      <c r="J1348"/>
      <c r="K1348" t="inlineStr">
        <is>
          <t xml:space="preserve">Бангладеш</t>
        </is>
      </c>
      <c r="L1348" t="inlineStr">
        <is>
          <t xml:space="preserve">6103430001</t>
        </is>
      </c>
      <c r="M1348" t="inlineStr">
        <is>
          <t xml:space="preserve">Декларация № ЕАЭС № BY/112 11.01. ТР017 122.01 08246, до 19.04.2028</t>
        </is>
      </c>
      <c r="N1348" t="inlineStr">
        <is>
          <t xml:space="preserve">35 × 30 × 2</t>
        </is>
      </c>
      <c r="O1348" t="inlineStr">
        <is>
          <t xml:space="preserve">0,25</t>
        </is>
      </c>
      <c r="P1348" t="inlineStr">
        <is>
          <t xml:space="preserve">2004570323796</t>
        </is>
      </c>
      <c r="Q1348" s="3" t="str">
        <f>HYPERLINK("https://modify.by/img/93657582/1.webp","фото")</f>
        <v>фото</v>
      </c>
      <c r="R1348" s="3" t="str">
        <f>HYPERLINK("https://modify.by/catalog/shorty/93657582/?utm_source=price&amp;utm_medium=xlsx","открыть")</f>
        <v>открыть</v>
      </c>
    </row>
    <row r="1349">
      <c r="A1349" t="inlineStr">
        <is>
          <t xml:space="preserve">Мужской</t>
        </is>
      </c>
      <c r="B1349" t="inlineStr">
        <is>
          <t xml:space="preserve">Шорты</t>
        </is>
      </c>
      <c r="C1349" t="inlineStr">
        <is>
          <t xml:space="preserve">Шорты плавательные</t>
        </is>
      </c>
      <c r="D1349" t="inlineStr">
        <is>
          <t xml:space="preserve">BS12M08Салатовый_93657582</t>
        </is>
      </c>
      <c r="E1349" t="inlineStr">
        <is>
          <t xml:space="preserve">салатовый</t>
        </is>
      </c>
      <c r="F1349" t="inlineStr">
        <is>
          <t xml:space="preserve">54</t>
        </is>
      </c>
      <c r="G1349">
        <v>2</v>
      </c>
      <c r="H1349" s="2">
        <v>22.0</v>
      </c>
      <c r="I1349" t="inlineStr">
        <is>
          <t xml:space="preserve">полиэстер 100%</t>
        </is>
      </c>
      <c r="J1349"/>
      <c r="K1349" t="inlineStr">
        <is>
          <t xml:space="preserve">Бангладеш</t>
        </is>
      </c>
      <c r="L1349" t="inlineStr">
        <is>
          <t xml:space="preserve">6103430001</t>
        </is>
      </c>
      <c r="M1349" t="inlineStr">
        <is>
          <t xml:space="preserve">Декларация № ЕАЭС № BY/112 11.01. ТР017 122.01 08246, до 19.04.2028</t>
        </is>
      </c>
      <c r="N1349" t="inlineStr">
        <is>
          <t xml:space="preserve">35 × 30 × 2</t>
        </is>
      </c>
      <c r="O1349" t="inlineStr">
        <is>
          <t xml:space="preserve">0,25</t>
        </is>
      </c>
      <c r="P1349" t="inlineStr">
        <is>
          <t xml:space="preserve">2004570323789</t>
        </is>
      </c>
      <c r="Q1349" s="3" t="str">
        <f>HYPERLINK("https://modify.by/img/93657582/1.webp","фото")</f>
        <v>фото</v>
      </c>
      <c r="R1349" s="3" t="str">
        <f>HYPERLINK("https://modify.by/catalog/shorty/93657582/?utm_source=price&amp;utm_medium=xlsx","открыть")</f>
        <v>открыть</v>
      </c>
    </row>
    <row r="1350">
      <c r="A1350" t="inlineStr">
        <is>
          <t xml:space="preserve">Мужской</t>
        </is>
      </c>
      <c r="B1350" t="inlineStr">
        <is>
          <t xml:space="preserve">Шорты</t>
        </is>
      </c>
      <c r="C1350" t="inlineStr">
        <is>
          <t xml:space="preserve">Шорты плавательные</t>
        </is>
      </c>
      <c r="D1350" t="inlineStr">
        <is>
          <t xml:space="preserve">BS12M08Салатовый_93657582</t>
        </is>
      </c>
      <c r="E1350" t="inlineStr">
        <is>
          <t xml:space="preserve">салатовый</t>
        </is>
      </c>
      <c r="F1350" t="inlineStr">
        <is>
          <t xml:space="preserve">54</t>
        </is>
      </c>
      <c r="G1350">
        <v>2</v>
      </c>
      <c r="H1350" s="2">
        <v>22.0</v>
      </c>
      <c r="I1350" t="inlineStr">
        <is>
          <t xml:space="preserve">полиэстер 100%</t>
        </is>
      </c>
      <c r="J1350"/>
      <c r="K1350" t="inlineStr">
        <is>
          <t xml:space="preserve">Бангладеш</t>
        </is>
      </c>
      <c r="L1350" t="inlineStr">
        <is>
          <t xml:space="preserve">6103430001</t>
        </is>
      </c>
      <c r="M1350" t="inlineStr">
        <is>
          <t xml:space="preserve">Декларация № ЕАЭС № BY/112 11.01. ТР017 122.01 08246, до 19.04.2028</t>
        </is>
      </c>
      <c r="N1350" t="inlineStr">
        <is>
          <t xml:space="preserve">35 × 30 × 2</t>
        </is>
      </c>
      <c r="O1350" t="inlineStr">
        <is>
          <t xml:space="preserve">0,25</t>
        </is>
      </c>
      <c r="P1350" t="inlineStr">
        <is>
          <t xml:space="preserve">4816148126849</t>
        </is>
      </c>
      <c r="Q1350" s="3" t="str">
        <f>HYPERLINK("https://modify.by/img/93657582/1.webp","фото")</f>
        <v>фото</v>
      </c>
      <c r="R1350" s="3" t="str">
        <f>HYPERLINK("https://modify.by/catalog/shorty/93657582/?utm_source=price&amp;utm_medium=xlsx","открыть")</f>
        <v>открыть</v>
      </c>
    </row>
    <row r="1351">
      <c r="A1351" t="inlineStr">
        <is>
          <t xml:space="preserve">Мужской</t>
        </is>
      </c>
      <c r="B1351" t="inlineStr">
        <is>
          <t xml:space="preserve">Шорты</t>
        </is>
      </c>
      <c r="C1351" t="inlineStr">
        <is>
          <t xml:space="preserve">Шорты плавательные летние с карманами</t>
        </is>
      </c>
      <c r="D1351" t="inlineStr">
        <is>
          <t xml:space="preserve">BS12M08Голубой</t>
        </is>
      </c>
      <c r="E1351" t="inlineStr">
        <is>
          <t xml:space="preserve">голубой</t>
        </is>
      </c>
      <c r="F1351" t="inlineStr">
        <is>
          <t xml:space="preserve">50</t>
        </is>
      </c>
      <c r="G1351">
        <v>1</v>
      </c>
      <c r="H1351" s="2">
        <v>22.0</v>
      </c>
      <c r="I1351" t="inlineStr">
        <is>
          <t xml:space="preserve">полиэстер 100%</t>
        </is>
      </c>
      <c r="J1351"/>
      <c r="K1351" t="inlineStr">
        <is>
          <t xml:space="preserve">Бангладеш</t>
        </is>
      </c>
      <c r="L1351" t="inlineStr">
        <is>
          <t xml:space="preserve">6103430001</t>
        </is>
      </c>
      <c r="M1351" t="inlineStr">
        <is>
          <t xml:space="preserve">по запросу</t>
        </is>
      </c>
      <c r="N1351" t="inlineStr">
        <is>
          <t xml:space="preserve">35 × 30 × 2</t>
        </is>
      </c>
      <c r="O1351" t="inlineStr">
        <is>
          <t xml:space="preserve">0,25</t>
        </is>
      </c>
      <c r="P1351" t="inlineStr">
        <is>
          <t xml:space="preserve">2004452902002</t>
        </is>
      </c>
      <c r="Q1351" s="3" t="str">
        <f>HYPERLINK("https://modify.by/img/93657583/1.webp","фото")</f>
        <v>фото</v>
      </c>
      <c r="R1351" s="3" t="str">
        <f>HYPERLINK("https://modify.by/catalog/shorty/93657583/?utm_source=price&amp;utm_medium=xlsx","открыть")</f>
        <v>открыть</v>
      </c>
    </row>
    <row r="1352">
      <c r="A1352" t="inlineStr">
        <is>
          <t xml:space="preserve">Мужской</t>
        </is>
      </c>
      <c r="B1352" t="inlineStr">
        <is>
          <t xml:space="preserve">Шорты</t>
        </is>
      </c>
      <c r="C1352" t="inlineStr">
        <is>
          <t xml:space="preserve">Шорты плавательные с карманами</t>
        </is>
      </c>
      <c r="D1352" t="inlineStr">
        <is>
          <t xml:space="preserve">BS42M02красный</t>
        </is>
      </c>
      <c r="E1352" t="inlineStr">
        <is>
          <t xml:space="preserve">красный</t>
        </is>
      </c>
      <c r="F1352" t="inlineStr">
        <is>
          <t xml:space="preserve">50</t>
        </is>
      </c>
      <c r="G1352">
        <v>48</v>
      </c>
      <c r="H1352" s="2">
        <v>22.0</v>
      </c>
      <c r="I1352" t="inlineStr">
        <is>
          <t xml:space="preserve">100% полиэстер</t>
        </is>
      </c>
      <c r="J1352"/>
      <c r="K1352" t="inlineStr">
        <is>
          <t xml:space="preserve">Бангладеш</t>
        </is>
      </c>
      <c r="L1352" t="inlineStr">
        <is>
          <t xml:space="preserve">6203439000</t>
        </is>
      </c>
      <c r="M1352" t="inlineStr">
        <is>
          <t xml:space="preserve">Декларация № ЕАЭС № BY/112 11.01. ТР017 122.01 08246, до 19.04.2028</t>
        </is>
      </c>
      <c r="N1352" t="inlineStr">
        <is>
          <t xml:space="preserve">35 × 30 × 1</t>
        </is>
      </c>
      <c r="O1352" t="inlineStr">
        <is>
          <t xml:space="preserve">0,25</t>
        </is>
      </c>
      <c r="P1352" t="inlineStr">
        <is>
          <t xml:space="preserve">4816148124975</t>
        </is>
      </c>
      <c r="Q1352" s="3" t="str">
        <f>HYPERLINK("https://modify.by/img/251887030/1.webp","фото")</f>
        <v>фото</v>
      </c>
      <c r="R1352" s="3" t="str">
        <f>HYPERLINK("https://modify.by/catalog/shorty/251887030/?utm_source=price&amp;utm_medium=xlsx","открыть")</f>
        <v>открыть</v>
      </c>
    </row>
    <row r="1353">
      <c r="A1353" t="inlineStr">
        <is>
          <t xml:space="preserve">Мужской</t>
        </is>
      </c>
      <c r="B1353" t="inlineStr">
        <is>
          <t xml:space="preserve">Шорты</t>
        </is>
      </c>
      <c r="C1353" t="inlineStr">
        <is>
          <t xml:space="preserve">Шорты плавательные с карманами</t>
        </is>
      </c>
      <c r="D1353" t="inlineStr">
        <is>
          <t xml:space="preserve">BS42M02красный</t>
        </is>
      </c>
      <c r="E1353" t="inlineStr">
        <is>
          <t xml:space="preserve">красный</t>
        </is>
      </c>
      <c r="F1353" t="inlineStr">
        <is>
          <t xml:space="preserve">52</t>
        </is>
      </c>
      <c r="G1353">
        <v>59</v>
      </c>
      <c r="H1353" s="2">
        <v>22.0</v>
      </c>
      <c r="I1353" t="inlineStr">
        <is>
          <t xml:space="preserve">100% полиэстер</t>
        </is>
      </c>
      <c r="J1353"/>
      <c r="K1353" t="inlineStr">
        <is>
          <t xml:space="preserve">Бангладеш</t>
        </is>
      </c>
      <c r="L1353" t="inlineStr">
        <is>
          <t xml:space="preserve">6203439000</t>
        </is>
      </c>
      <c r="M1353" t="inlineStr">
        <is>
          <t xml:space="preserve">Декларация № ЕАЭС № BY/112 11.01. ТР017 122.01 08246, до 19.04.2028</t>
        </is>
      </c>
      <c r="N1353" t="inlineStr">
        <is>
          <t xml:space="preserve">35 × 30 × 1</t>
        </is>
      </c>
      <c r="O1353" t="inlineStr">
        <is>
          <t xml:space="preserve">0,25</t>
        </is>
      </c>
      <c r="P1353" t="inlineStr">
        <is>
          <t xml:space="preserve">4816148124982</t>
        </is>
      </c>
      <c r="Q1353" s="3" t="str">
        <f>HYPERLINK("https://modify.by/img/251887030/1.webp","фото")</f>
        <v>фото</v>
      </c>
      <c r="R1353" s="3" t="str">
        <f>HYPERLINK("https://modify.by/catalog/shorty/251887030/?utm_source=price&amp;utm_medium=xlsx","открыть")</f>
        <v>открыть</v>
      </c>
    </row>
    <row r="1354">
      <c r="A1354" t="inlineStr">
        <is>
          <t xml:space="preserve">Мужской</t>
        </is>
      </c>
      <c r="B1354" t="inlineStr">
        <is>
          <t xml:space="preserve">Шорты</t>
        </is>
      </c>
      <c r="C1354" t="inlineStr">
        <is>
          <t xml:space="preserve">Шорты плавательные с карманами</t>
        </is>
      </c>
      <c r="D1354" t="inlineStr">
        <is>
          <t xml:space="preserve">BS42M02красный</t>
        </is>
      </c>
      <c r="E1354" t="inlineStr">
        <is>
          <t xml:space="preserve">красный</t>
        </is>
      </c>
      <c r="F1354" t="inlineStr">
        <is>
          <t xml:space="preserve">54</t>
        </is>
      </c>
      <c r="G1354">
        <v>54</v>
      </c>
      <c r="H1354" s="2">
        <v>22.0</v>
      </c>
      <c r="I1354" t="inlineStr">
        <is>
          <t xml:space="preserve">100% полиэстер</t>
        </is>
      </c>
      <c r="J1354"/>
      <c r="K1354" t="inlineStr">
        <is>
          <t xml:space="preserve">Бангладеш</t>
        </is>
      </c>
      <c r="L1354" t="inlineStr">
        <is>
          <t xml:space="preserve">6203439000</t>
        </is>
      </c>
      <c r="M1354" t="inlineStr">
        <is>
          <t xml:space="preserve">Декларация № ЕАЭС № BY/112 11.01. ТР017 122.01 08246, до 19.04.2028</t>
        </is>
      </c>
      <c r="N1354" t="inlineStr">
        <is>
          <t xml:space="preserve">35 × 30 × 1</t>
        </is>
      </c>
      <c r="O1354" t="inlineStr">
        <is>
          <t xml:space="preserve">0,25</t>
        </is>
      </c>
      <c r="P1354" t="inlineStr">
        <is>
          <t xml:space="preserve">4816148124999</t>
        </is>
      </c>
      <c r="Q1354" s="3" t="str">
        <f>HYPERLINK("https://modify.by/img/251887030/1.webp","фото")</f>
        <v>фото</v>
      </c>
      <c r="R1354" s="3" t="str">
        <f>HYPERLINK("https://modify.by/catalog/shorty/251887030/?utm_source=price&amp;utm_medium=xlsx","открыть")</f>
        <v>открыть</v>
      </c>
    </row>
    <row r="1355">
      <c r="A1355" t="inlineStr">
        <is>
          <t xml:space="preserve">Мужской</t>
        </is>
      </c>
      <c r="B1355" t="inlineStr">
        <is>
          <t xml:space="preserve">Шорты</t>
        </is>
      </c>
      <c r="C1355" t="inlineStr">
        <is>
          <t xml:space="preserve">Шорты пляжные летние Бермуды</t>
        </is>
      </c>
      <c r="D1355" t="inlineStr">
        <is>
          <t xml:space="preserve">BE42M03голубой</t>
        </is>
      </c>
      <c r="E1355" t="inlineStr">
        <is>
          <t xml:space="preserve">голубой</t>
        </is>
      </c>
      <c r="F1355" t="inlineStr">
        <is>
          <t xml:space="preserve">48</t>
        </is>
      </c>
      <c r="G1355">
        <v>33</v>
      </c>
      <c r="H1355" s="2">
        <v>32.0</v>
      </c>
      <c r="I1355" t="inlineStr">
        <is>
          <t xml:space="preserve">хлопок, вискоза</t>
        </is>
      </c>
      <c r="J1355"/>
      <c r="K1355" t="inlineStr">
        <is>
          <t xml:space="preserve">Бангладеш</t>
        </is>
      </c>
      <c r="L1355" t="inlineStr">
        <is>
          <t xml:space="preserve">6203429000</t>
        </is>
      </c>
      <c r="M1355" t="inlineStr">
        <is>
          <t xml:space="preserve">Декларация № ЕАЭС № BY/112 11.01. ТР017 122.01 08246, до 19.04.2028</t>
        </is>
      </c>
      <c r="N1355" t="inlineStr">
        <is>
          <t xml:space="preserve">33 × 25 × 2</t>
        </is>
      </c>
      <c r="O1355" t="inlineStr">
        <is>
          <t xml:space="preserve">0,25</t>
        </is>
      </c>
      <c r="P1355" t="inlineStr">
        <is>
          <t xml:space="preserve">4816148107343</t>
        </is>
      </c>
      <c r="Q1355" s="3" t="str">
        <f>HYPERLINK("https://modify.by/img/243036316/1.webp","фото")</f>
        <v>фото</v>
      </c>
      <c r="R1355" s="3" t="str">
        <f>HYPERLINK("https://modify.by/catalog/shorty/243036316/?utm_source=price&amp;utm_medium=xlsx","открыть")</f>
        <v>открыть</v>
      </c>
    </row>
    <row r="1356">
      <c r="A1356" t="inlineStr">
        <is>
          <t xml:space="preserve">Мужской</t>
        </is>
      </c>
      <c r="B1356" t="inlineStr">
        <is>
          <t xml:space="preserve">Шорты</t>
        </is>
      </c>
      <c r="C1356" t="inlineStr">
        <is>
          <t xml:space="preserve">Шорты спортивные для зала и физкультуры, серый</t>
        </is>
      </c>
      <c r="D1356" t="inlineStr">
        <is>
          <t xml:space="preserve">BS12M07**Серый,бирюзовый</t>
        </is>
      </c>
      <c r="E1356" t="inlineStr">
        <is>
          <t xml:space="preserve">серый</t>
        </is>
      </c>
      <c r="F1356" t="inlineStr">
        <is>
          <t xml:space="preserve">46</t>
        </is>
      </c>
      <c r="G1356">
        <v>2</v>
      </c>
      <c r="H1356" s="2">
        <v>18.0</v>
      </c>
      <c r="I1356" t="inlineStr">
        <is>
          <t xml:space="preserve">60% хлопок, 40% полиэстер</t>
        </is>
      </c>
      <c r="J1356"/>
      <c r="K1356" t="inlineStr">
        <is>
          <t xml:space="preserve">Бангладеш</t>
        </is>
      </c>
      <c r="L1356" t="inlineStr">
        <is>
          <t xml:space="preserve">6204639000</t>
        </is>
      </c>
      <c r="M1356" t="inlineStr">
        <is>
          <t xml:space="preserve">Декларация № ЕАЭС № BY/112 11.01. ТР017 122.01 08246, до 19.04.2028</t>
        </is>
      </c>
      <c r="N1356" t="inlineStr">
        <is>
          <t xml:space="preserve">33 × 29 × 3</t>
        </is>
      </c>
      <c r="O1356" t="inlineStr">
        <is>
          <t xml:space="preserve">0,25</t>
        </is>
      </c>
      <c r="P1356" t="inlineStr">
        <is>
          <t xml:space="preserve">2004452842353</t>
        </is>
      </c>
      <c r="Q1356" s="3" t="str">
        <f>HYPERLINK("https://modify.by/img/65467026/1.webp","фото")</f>
        <v>фото</v>
      </c>
      <c r="R1356" s="3" t="str">
        <f>HYPERLINK("https://modify.by/catalog/shorty/65467026/?utm_source=price&amp;utm_medium=xlsx","открыть")</f>
        <v>открыть</v>
      </c>
    </row>
    <row r="1357">
      <c r="A1357" t="inlineStr">
        <is>
          <t xml:space="preserve">Мужской</t>
        </is>
      </c>
      <c r="B1357" t="inlineStr">
        <is>
          <t xml:space="preserve">Шорты</t>
        </is>
      </c>
      <c r="C1357" t="inlineStr">
        <is>
          <t xml:space="preserve">Шорты спортивные для зала и физкультуры, серый</t>
        </is>
      </c>
      <c r="D1357" t="inlineStr">
        <is>
          <t xml:space="preserve">BS12M07**Серый,бирюзовый</t>
        </is>
      </c>
      <c r="E1357" t="inlineStr">
        <is>
          <t xml:space="preserve">серый</t>
        </is>
      </c>
      <c r="F1357" t="inlineStr">
        <is>
          <t xml:space="preserve">54</t>
        </is>
      </c>
      <c r="G1357">
        <v>1</v>
      </c>
      <c r="H1357" s="2">
        <v>18.0</v>
      </c>
      <c r="I1357" t="inlineStr">
        <is>
          <t xml:space="preserve">60% хлопок, 40% полиэстер</t>
        </is>
      </c>
      <c r="J1357"/>
      <c r="K1357" t="inlineStr">
        <is>
          <t xml:space="preserve">Бангладеш</t>
        </is>
      </c>
      <c r="L1357" t="inlineStr">
        <is>
          <t xml:space="preserve">6204639000</t>
        </is>
      </c>
      <c r="M1357" t="inlineStr">
        <is>
          <t xml:space="preserve">Декларация № ЕАЭС № BY/112 11.01. ТР017 122.01 08246, до 19.04.2028</t>
        </is>
      </c>
      <c r="N1357" t="inlineStr">
        <is>
          <t xml:space="preserve">33 × 29 × 3</t>
        </is>
      </c>
      <c r="O1357" t="inlineStr">
        <is>
          <t xml:space="preserve">0,25</t>
        </is>
      </c>
      <c r="P1357" t="inlineStr">
        <is>
          <t xml:space="preserve">2004452842315</t>
        </is>
      </c>
      <c r="Q1357" s="3" t="str">
        <f>HYPERLINK("https://modify.by/img/65467026/1.webp","фото")</f>
        <v>фото</v>
      </c>
      <c r="R1357" s="3" t="str">
        <f>HYPERLINK("https://modify.by/catalog/shorty/65467026/?utm_source=price&amp;utm_medium=xlsx","открыть")</f>
        <v>открыть</v>
      </c>
    </row>
    <row r="1358">
      <c r="A1358" t="inlineStr">
        <is>
          <t xml:space="preserve">Мужской</t>
        </is>
      </c>
      <c r="B1358" t="inlineStr">
        <is>
          <t xml:space="preserve">Шорты</t>
        </is>
      </c>
      <c r="C1358" t="inlineStr">
        <is>
          <t xml:space="preserve">Шорты спортивные для зала и физкультуры, серый</t>
        </is>
      </c>
      <c r="D1358" t="inlineStr">
        <is>
          <t xml:space="preserve">BS12M07**Серый,бирюзовый</t>
        </is>
      </c>
      <c r="E1358" t="inlineStr">
        <is>
          <t xml:space="preserve">серый</t>
        </is>
      </c>
      <c r="F1358" t="inlineStr">
        <is>
          <t xml:space="preserve">54</t>
        </is>
      </c>
      <c r="G1358">
        <v>1</v>
      </c>
      <c r="H1358" s="2">
        <v>18.0</v>
      </c>
      <c r="I1358" t="inlineStr">
        <is>
          <t xml:space="preserve">60% хлопок, 40% полиэстер</t>
        </is>
      </c>
      <c r="J1358"/>
      <c r="K1358" t="inlineStr">
        <is>
          <t xml:space="preserve">Бангладеш</t>
        </is>
      </c>
      <c r="L1358" t="inlineStr">
        <is>
          <t xml:space="preserve">6204639000</t>
        </is>
      </c>
      <c r="M1358" t="inlineStr">
        <is>
          <t xml:space="preserve">Декларация № ЕАЭС № BY/112 11.01. ТР017 122.01 08246, до 19.04.2028</t>
        </is>
      </c>
      <c r="N1358" t="inlineStr">
        <is>
          <t xml:space="preserve">33 × 29 × 3</t>
        </is>
      </c>
      <c r="O1358" t="inlineStr">
        <is>
          <t xml:space="preserve">0,25</t>
        </is>
      </c>
      <c r="P1358" t="inlineStr">
        <is>
          <t xml:space="preserve">4816148179609</t>
        </is>
      </c>
      <c r="Q1358" s="3" t="str">
        <f>HYPERLINK("https://modify.by/img/65467026/1.webp","фото")</f>
        <v>фото</v>
      </c>
      <c r="R1358" s="3" t="str">
        <f>HYPERLINK("https://modify.by/catalog/shorty/65467026/?utm_source=price&amp;utm_medium=xlsx","открыть")</f>
        <v>открыть</v>
      </c>
    </row>
    <row r="1359">
      <c r="A1359" t="inlineStr">
        <is>
          <t xml:space="preserve">Мужской</t>
        </is>
      </c>
      <c r="B1359" t="inlineStr">
        <is>
          <t xml:space="preserve">Шорты</t>
        </is>
      </c>
      <c r="C1359" t="inlineStr">
        <is>
          <t xml:space="preserve">Шорты спортивные для зала и физкультуры, черный</t>
        </is>
      </c>
      <c r="D1359" t="inlineStr">
        <is>
          <t xml:space="preserve">BS12M07**Черный,лимонный</t>
        </is>
      </c>
      <c r="E1359" t="inlineStr">
        <is>
          <t xml:space="preserve">черный</t>
        </is>
      </c>
      <c r="F1359" t="inlineStr">
        <is>
          <t xml:space="preserve">46</t>
        </is>
      </c>
      <c r="G1359">
        <v>32</v>
      </c>
      <c r="H1359" s="2">
        <v>18.0</v>
      </c>
      <c r="I1359" t="inlineStr">
        <is>
          <t xml:space="preserve">60% хлопок, 40% полиэстер</t>
        </is>
      </c>
      <c r="J1359"/>
      <c r="K1359" t="inlineStr">
        <is>
          <t xml:space="preserve">Бангладеш</t>
        </is>
      </c>
      <c r="L1359" t="inlineStr">
        <is>
          <t xml:space="preserve">6204639000</t>
        </is>
      </c>
      <c r="M1359" t="inlineStr">
        <is>
          <t xml:space="preserve">Декларация № ЕАЭС № BY/112 11.01. ТР017 122.01 08246, до 19.04.2028</t>
        </is>
      </c>
      <c r="N1359" t="inlineStr">
        <is>
          <t xml:space="preserve">33 × 29 × 2</t>
        </is>
      </c>
      <c r="O1359" t="inlineStr">
        <is>
          <t xml:space="preserve">0,25</t>
        </is>
      </c>
      <c r="P1359" t="inlineStr">
        <is>
          <t xml:space="preserve">2004452842308</t>
        </is>
      </c>
      <c r="Q1359" s="3" t="str">
        <f>HYPERLINK("https://modify.by/img/65467028/1.webp","фото")</f>
        <v>фото</v>
      </c>
      <c r="R1359" s="3" t="str">
        <f>HYPERLINK("https://modify.by/catalog/shorty/65467028/?utm_source=price&amp;utm_medium=xlsx","открыть")</f>
        <v>открыть</v>
      </c>
    </row>
    <row r="1360">
      <c r="A1360" t="inlineStr">
        <is>
          <t xml:space="preserve">Мужской</t>
        </is>
      </c>
      <c r="B1360" t="inlineStr">
        <is>
          <t xml:space="preserve">Шорты</t>
        </is>
      </c>
      <c r="C1360" t="inlineStr">
        <is>
          <t xml:space="preserve">Шорты спортивные для зала и физкультуры, черный</t>
        </is>
      </c>
      <c r="D1360" t="inlineStr">
        <is>
          <t xml:space="preserve">BS12M07**Черный,лимонный</t>
        </is>
      </c>
      <c r="E1360" t="inlineStr">
        <is>
          <t xml:space="preserve">черный</t>
        </is>
      </c>
      <c r="F1360" t="inlineStr">
        <is>
          <t xml:space="preserve">46</t>
        </is>
      </c>
      <c r="G1360">
        <v>32</v>
      </c>
      <c r="H1360" s="2">
        <v>18.0</v>
      </c>
      <c r="I1360" t="inlineStr">
        <is>
          <t xml:space="preserve">60% хлопок, 40% полиэстер</t>
        </is>
      </c>
      <c r="J1360"/>
      <c r="K1360" t="inlineStr">
        <is>
          <t xml:space="preserve">Бангладеш</t>
        </is>
      </c>
      <c r="L1360" t="inlineStr">
        <is>
          <t xml:space="preserve">6204639000</t>
        </is>
      </c>
      <c r="M1360" t="inlineStr">
        <is>
          <t xml:space="preserve">Декларация № ЕАЭС № BY/112 11.01. ТР017 122.01 08246, до 19.04.2028</t>
        </is>
      </c>
      <c r="N1360" t="inlineStr">
        <is>
          <t xml:space="preserve">33 × 29 × 2</t>
        </is>
      </c>
      <c r="O1360" t="inlineStr">
        <is>
          <t xml:space="preserve">0,25</t>
        </is>
      </c>
      <c r="P1360" t="inlineStr">
        <is>
          <t xml:space="preserve">4816148112897</t>
        </is>
      </c>
      <c r="Q1360" s="3" t="str">
        <f>HYPERLINK("https://modify.by/img/65467028/1.webp","фото")</f>
        <v>фото</v>
      </c>
      <c r="R1360" s="3" t="str">
        <f>HYPERLINK("https://modify.by/catalog/shorty/65467028/?utm_source=price&amp;utm_medium=xlsx","открыть")</f>
        <v>открыть</v>
      </c>
    </row>
    <row r="1361">
      <c r="A1361" t="inlineStr">
        <is>
          <t xml:space="preserve">Мужской</t>
        </is>
      </c>
      <c r="B1361" t="inlineStr">
        <is>
          <t xml:space="preserve">Шорты</t>
        </is>
      </c>
      <c r="C1361" t="inlineStr">
        <is>
          <t xml:space="preserve">Шорты спортивные для зала и физкультуры, черный</t>
        </is>
      </c>
      <c r="D1361" t="inlineStr">
        <is>
          <t xml:space="preserve">BS12M07**Черный,лимонный</t>
        </is>
      </c>
      <c r="E1361" t="inlineStr">
        <is>
          <t xml:space="preserve">черный</t>
        </is>
      </c>
      <c r="F1361" t="inlineStr">
        <is>
          <t xml:space="preserve">48</t>
        </is>
      </c>
      <c r="G1361">
        <v>82</v>
      </c>
      <c r="H1361" s="2">
        <v>18.0</v>
      </c>
      <c r="I1361" t="inlineStr">
        <is>
          <t xml:space="preserve">60% хлопок, 40% полиэстер</t>
        </is>
      </c>
      <c r="J1361"/>
      <c r="K1361" t="inlineStr">
        <is>
          <t xml:space="preserve">Бангладеш</t>
        </is>
      </c>
      <c r="L1361" t="inlineStr">
        <is>
          <t xml:space="preserve">6204639000</t>
        </is>
      </c>
      <c r="M1361" t="inlineStr">
        <is>
          <t xml:space="preserve">Декларация № ЕАЭС № BY/112 11.01. ТР017 122.01 08246, до 19.04.2028</t>
        </is>
      </c>
      <c r="N1361" t="inlineStr">
        <is>
          <t xml:space="preserve">33 × 29 × 2</t>
        </is>
      </c>
      <c r="O1361" t="inlineStr">
        <is>
          <t xml:space="preserve">0,25</t>
        </is>
      </c>
      <c r="P1361" t="inlineStr">
        <is>
          <t xml:space="preserve">2004452842292</t>
        </is>
      </c>
      <c r="Q1361" s="3" t="str">
        <f>HYPERLINK("https://modify.by/img/65467028/1.webp","фото")</f>
        <v>фото</v>
      </c>
      <c r="R1361" s="3" t="str">
        <f>HYPERLINK("https://modify.by/catalog/shorty/65467028/?utm_source=price&amp;utm_medium=xlsx","открыть")</f>
        <v>открыть</v>
      </c>
    </row>
    <row r="1362">
      <c r="A1362" t="inlineStr">
        <is>
          <t xml:space="preserve">Мужской</t>
        </is>
      </c>
      <c r="B1362" t="inlineStr">
        <is>
          <t xml:space="preserve">Шорты</t>
        </is>
      </c>
      <c r="C1362" t="inlineStr">
        <is>
          <t xml:space="preserve">Шорты спортивные для зала и физкультуры, черный</t>
        </is>
      </c>
      <c r="D1362" t="inlineStr">
        <is>
          <t xml:space="preserve">BS12M07**Черный,лимонный</t>
        </is>
      </c>
      <c r="E1362" t="inlineStr">
        <is>
          <t xml:space="preserve">черный</t>
        </is>
      </c>
      <c r="F1362" t="inlineStr">
        <is>
          <t xml:space="preserve">48</t>
        </is>
      </c>
      <c r="G1362">
        <v>82</v>
      </c>
      <c r="H1362" s="2">
        <v>18.0</v>
      </c>
      <c r="I1362" t="inlineStr">
        <is>
          <t xml:space="preserve">60% хлопок, 40% полиэстер</t>
        </is>
      </c>
      <c r="J1362"/>
      <c r="K1362" t="inlineStr">
        <is>
          <t xml:space="preserve">Бангладеш</t>
        </is>
      </c>
      <c r="L1362" t="inlineStr">
        <is>
          <t xml:space="preserve">6204639000</t>
        </is>
      </c>
      <c r="M1362" t="inlineStr">
        <is>
          <t xml:space="preserve">Декларация № ЕАЭС № BY/112 11.01. ТР017 122.01 08246, до 19.04.2028</t>
        </is>
      </c>
      <c r="N1362" t="inlineStr">
        <is>
          <t xml:space="preserve">33 × 29 × 2</t>
        </is>
      </c>
      <c r="O1362" t="inlineStr">
        <is>
          <t xml:space="preserve">0,25</t>
        </is>
      </c>
      <c r="P1362" t="inlineStr">
        <is>
          <t xml:space="preserve">4816148112903</t>
        </is>
      </c>
      <c r="Q1362" s="3" t="str">
        <f>HYPERLINK("https://modify.by/img/65467028/1.webp","фото")</f>
        <v>фото</v>
      </c>
      <c r="R1362" s="3" t="str">
        <f>HYPERLINK("https://modify.by/catalog/shorty/65467028/?utm_source=price&amp;utm_medium=xlsx","открыть")</f>
        <v>открыть</v>
      </c>
    </row>
    <row r="1363">
      <c r="A1363" t="inlineStr">
        <is>
          <t xml:space="preserve">Мужской</t>
        </is>
      </c>
      <c r="B1363" t="inlineStr">
        <is>
          <t xml:space="preserve">Шорты</t>
        </is>
      </c>
      <c r="C1363" t="inlineStr">
        <is>
          <t xml:space="preserve">Шорты спортивные для зала и физкультуры, черный</t>
        </is>
      </c>
      <c r="D1363" t="inlineStr">
        <is>
          <t xml:space="preserve">BS12M07**Черный,лимонный</t>
        </is>
      </c>
      <c r="E1363" t="inlineStr">
        <is>
          <t xml:space="preserve">черный</t>
        </is>
      </c>
      <c r="F1363" t="inlineStr">
        <is>
          <t xml:space="preserve">50</t>
        </is>
      </c>
      <c r="G1363">
        <v>11</v>
      </c>
      <c r="H1363" s="2">
        <v>18.0</v>
      </c>
      <c r="I1363" t="inlineStr">
        <is>
          <t xml:space="preserve">60% хлопок, 40% полиэстер</t>
        </is>
      </c>
      <c r="J1363"/>
      <c r="K1363" t="inlineStr">
        <is>
          <t xml:space="preserve">Бангладеш</t>
        </is>
      </c>
      <c r="L1363" t="inlineStr">
        <is>
          <t xml:space="preserve">6204639000</t>
        </is>
      </c>
      <c r="M1363" t="inlineStr">
        <is>
          <t xml:space="preserve">Декларация № ЕАЭС № BY/112 11.01. ТР017 122.01 08246, до 19.04.2028</t>
        </is>
      </c>
      <c r="N1363" t="inlineStr">
        <is>
          <t xml:space="preserve">33 × 29 × 2</t>
        </is>
      </c>
      <c r="O1363" t="inlineStr">
        <is>
          <t xml:space="preserve">0,25</t>
        </is>
      </c>
      <c r="P1363" t="inlineStr">
        <is>
          <t xml:space="preserve">2004452842285</t>
        </is>
      </c>
      <c r="Q1363" s="3" t="str">
        <f>HYPERLINK("https://modify.by/img/65467028/1.webp","фото")</f>
        <v>фото</v>
      </c>
      <c r="R1363" s="3" t="str">
        <f>HYPERLINK("https://modify.by/catalog/shorty/65467028/?utm_source=price&amp;utm_medium=xlsx","открыть")</f>
        <v>открыть</v>
      </c>
    </row>
    <row r="1364">
      <c r="A1364" t="inlineStr">
        <is>
          <t xml:space="preserve">Мужской</t>
        </is>
      </c>
      <c r="B1364" t="inlineStr">
        <is>
          <t xml:space="preserve">Шорты</t>
        </is>
      </c>
      <c r="C1364" t="inlineStr">
        <is>
          <t xml:space="preserve">Шорты спортивные для зала и физкультуры, черный</t>
        </is>
      </c>
      <c r="D1364" t="inlineStr">
        <is>
          <t xml:space="preserve">BS12M07**Черный,лимонный</t>
        </is>
      </c>
      <c r="E1364" t="inlineStr">
        <is>
          <t xml:space="preserve">черный</t>
        </is>
      </c>
      <c r="F1364" t="inlineStr">
        <is>
          <t xml:space="preserve">50</t>
        </is>
      </c>
      <c r="G1364">
        <v>11</v>
      </c>
      <c r="H1364" s="2">
        <v>18.0</v>
      </c>
      <c r="I1364" t="inlineStr">
        <is>
          <t xml:space="preserve">60% хлопок, 40% полиэстер</t>
        </is>
      </c>
      <c r="J1364"/>
      <c r="K1364" t="inlineStr">
        <is>
          <t xml:space="preserve">Бангладеш</t>
        </is>
      </c>
      <c r="L1364" t="inlineStr">
        <is>
          <t xml:space="preserve">6204639000</t>
        </is>
      </c>
      <c r="M1364" t="inlineStr">
        <is>
          <t xml:space="preserve">Декларация № ЕАЭС № BY/112 11.01. ТР017 122.01 08246, до 19.04.2028</t>
        </is>
      </c>
      <c r="N1364" t="inlineStr">
        <is>
          <t xml:space="preserve">33 × 29 × 2</t>
        </is>
      </c>
      <c r="O1364" t="inlineStr">
        <is>
          <t xml:space="preserve">0,25</t>
        </is>
      </c>
      <c r="P1364" t="inlineStr">
        <is>
          <t xml:space="preserve">4816148108029</t>
        </is>
      </c>
      <c r="Q1364" s="3" t="str">
        <f>HYPERLINK("https://modify.by/img/65467028/1.webp","фото")</f>
        <v>фото</v>
      </c>
      <c r="R1364" s="3" t="str">
        <f>HYPERLINK("https://modify.by/catalog/shorty/65467028/?utm_source=price&amp;utm_medium=xlsx","открыть")</f>
        <v>открыть</v>
      </c>
    </row>
    <row r="1365">
      <c r="A1365" t="inlineStr">
        <is>
          <t xml:space="preserve">Мужской</t>
        </is>
      </c>
      <c r="B1365" t="inlineStr">
        <is>
          <t xml:space="preserve">Шорты</t>
        </is>
      </c>
      <c r="C1365" t="inlineStr">
        <is>
          <t xml:space="preserve">Шорты спортивные и для купания, темно-синий</t>
        </is>
      </c>
      <c r="D1365" t="inlineStr">
        <is>
          <t xml:space="preserve">BS12M07Темно-синий</t>
        </is>
      </c>
      <c r="E1365" t="inlineStr">
        <is>
          <t xml:space="preserve">темно-синий</t>
        </is>
      </c>
      <c r="F1365" t="inlineStr">
        <is>
          <t xml:space="preserve">46</t>
        </is>
      </c>
      <c r="G1365">
        <v>58</v>
      </c>
      <c r="H1365" s="2">
        <v>18.0</v>
      </c>
      <c r="I1365" t="inlineStr">
        <is>
          <t xml:space="preserve">полиэстер</t>
        </is>
      </c>
      <c r="J1365"/>
      <c r="K1365" t="inlineStr">
        <is>
          <t xml:space="preserve">Бангладеш</t>
        </is>
      </c>
      <c r="L1365" t="inlineStr">
        <is>
          <t xml:space="preserve">6204639000</t>
        </is>
      </c>
      <c r="M1365" t="inlineStr">
        <is>
          <t xml:space="preserve">по запросу</t>
        </is>
      </c>
      <c r="N1365"/>
      <c r="O1365"/>
      <c r="P1365" t="inlineStr">
        <is>
          <t xml:space="preserve">2004452842407</t>
        </is>
      </c>
      <c r="Q1365" s="3" t="str">
        <f>HYPERLINK("https://modify.by/img/35304039/1.webp","фото")</f>
        <v>фото</v>
      </c>
      <c r="R1365" s="3" t="str">
        <f>HYPERLINK("https://modify.by/catalog/shorty/35304039/?utm_source=price&amp;utm_medium=xlsx","открыть")</f>
        <v>открыть</v>
      </c>
    </row>
    <row r="1366">
      <c r="A1366" t="inlineStr">
        <is>
          <t xml:space="preserve">Мужской</t>
        </is>
      </c>
      <c r="B1366" t="inlineStr">
        <is>
          <t xml:space="preserve">Шорты</t>
        </is>
      </c>
      <c r="C1366" t="inlineStr">
        <is>
          <t xml:space="preserve">Шорты спортивные и для купания, темно-синий</t>
        </is>
      </c>
      <c r="D1366" t="inlineStr">
        <is>
          <t xml:space="preserve">BS12M07Темно-синий</t>
        </is>
      </c>
      <c r="E1366" t="inlineStr">
        <is>
          <t xml:space="preserve">темно-синий</t>
        </is>
      </c>
      <c r="F1366" t="inlineStr">
        <is>
          <t xml:space="preserve">48</t>
        </is>
      </c>
      <c r="G1366">
        <v>150</v>
      </c>
      <c r="H1366" s="2">
        <v>18.0</v>
      </c>
      <c r="I1366" t="inlineStr">
        <is>
          <t xml:space="preserve">полиэстер</t>
        </is>
      </c>
      <c r="J1366"/>
      <c r="K1366" t="inlineStr">
        <is>
          <t xml:space="preserve">Бангладеш</t>
        </is>
      </c>
      <c r="L1366" t="inlineStr">
        <is>
          <t xml:space="preserve">6204639000</t>
        </is>
      </c>
      <c r="M1366" t="inlineStr">
        <is>
          <t xml:space="preserve">по запросу</t>
        </is>
      </c>
      <c r="N1366"/>
      <c r="O1366"/>
      <c r="P1366" t="inlineStr">
        <is>
          <t xml:space="preserve">2004452842391</t>
        </is>
      </c>
      <c r="Q1366" s="3" t="str">
        <f>HYPERLINK("https://modify.by/img/35304039/1.webp","фото")</f>
        <v>фото</v>
      </c>
      <c r="R1366" s="3" t="str">
        <f>HYPERLINK("https://modify.by/catalog/shorty/35304039/?utm_source=price&amp;utm_medium=xlsx","открыть")</f>
        <v>открыть</v>
      </c>
    </row>
    <row r="1367">
      <c r="A1367" t="inlineStr">
        <is>
          <t xml:space="preserve">Мужской</t>
        </is>
      </c>
      <c r="B1367" t="inlineStr">
        <is>
          <t xml:space="preserve">Шорты</t>
        </is>
      </c>
      <c r="C1367" t="inlineStr">
        <is>
          <t xml:space="preserve">Шорты спортивные и для купания, темно-синий</t>
        </is>
      </c>
      <c r="D1367" t="inlineStr">
        <is>
          <t xml:space="preserve">BS12M07Темно-синий</t>
        </is>
      </c>
      <c r="E1367" t="inlineStr">
        <is>
          <t xml:space="preserve">темно-синий</t>
        </is>
      </c>
      <c r="F1367" t="inlineStr">
        <is>
          <t xml:space="preserve">50</t>
        </is>
      </c>
      <c r="G1367">
        <v>42</v>
      </c>
      <c r="H1367" s="2">
        <v>18.0</v>
      </c>
      <c r="I1367" t="inlineStr">
        <is>
          <t xml:space="preserve">полиэстер</t>
        </is>
      </c>
      <c r="J1367"/>
      <c r="K1367" t="inlineStr">
        <is>
          <t xml:space="preserve">Бангладеш</t>
        </is>
      </c>
      <c r="L1367" t="inlineStr">
        <is>
          <t xml:space="preserve">6204639000</t>
        </is>
      </c>
      <c r="M1367" t="inlineStr">
        <is>
          <t xml:space="preserve">по запросу</t>
        </is>
      </c>
      <c r="N1367"/>
      <c r="O1367"/>
      <c r="P1367" t="inlineStr">
        <is>
          <t xml:space="preserve">2004452842384</t>
        </is>
      </c>
      <c r="Q1367" s="3" t="str">
        <f>HYPERLINK("https://modify.by/img/35304039/1.webp","фото")</f>
        <v>фото</v>
      </c>
      <c r="R1367" s="3" t="str">
        <f>HYPERLINK("https://modify.by/catalog/shorty/35304039/?utm_source=price&amp;utm_medium=xlsx","открыть")</f>
        <v>открыть</v>
      </c>
    </row>
    <row r="1368">
      <c r="A1368" t="inlineStr">
        <is>
          <t xml:space="preserve">Мужской</t>
        </is>
      </c>
      <c r="B1368" t="inlineStr">
        <is>
          <t xml:space="preserve">Шорты</t>
        </is>
      </c>
      <c r="C1368" t="inlineStr">
        <is>
          <t xml:space="preserve">Шорты спортивные трикотажные хлопок свободные, бирюзовый</t>
        </is>
      </c>
      <c r="D1368" t="inlineStr">
        <is>
          <t xml:space="preserve">BE52M03Бирюзовый</t>
        </is>
      </c>
      <c r="E1368" t="inlineStr">
        <is>
          <t xml:space="preserve">бирюзовый</t>
        </is>
      </c>
      <c r="F1368" t="inlineStr">
        <is>
          <t xml:space="preserve">52</t>
        </is>
      </c>
      <c r="G1368">
        <v>1</v>
      </c>
      <c r="H1368" s="2">
        <v>33.0</v>
      </c>
      <c r="I1368" t="inlineStr">
        <is>
          <t xml:space="preserve">50% хлопок, 50% полиэстер</t>
        </is>
      </c>
      <c r="J1368"/>
      <c r="K1368" t="inlineStr">
        <is>
          <t xml:space="preserve">Бангладеш</t>
        </is>
      </c>
      <c r="L1368" t="inlineStr">
        <is>
          <t xml:space="preserve">6203439000</t>
        </is>
      </c>
      <c r="M1368" t="inlineStr">
        <is>
          <t xml:space="preserve">Декларация № ЕАЭС № BY/112 11.01. ТР017 122.01 08246, до 19.04.2028</t>
        </is>
      </c>
      <c r="N1368" t="inlineStr">
        <is>
          <t xml:space="preserve">30 × 20 × 3</t>
        </is>
      </c>
      <c r="O1368" t="inlineStr">
        <is>
          <t xml:space="preserve">0,3</t>
        </is>
      </c>
      <c r="P1368" t="inlineStr">
        <is>
          <t xml:space="preserve">4816148164025</t>
        </is>
      </c>
      <c r="Q1368" s="3" t="str">
        <f>HYPERLINK("https://modify.by/img/398498295/1.webp","фото")</f>
        <v>фото</v>
      </c>
      <c r="R1368" s="3" t="str">
        <f>HYPERLINK("https://modify.by/catalog/shorty/398498295/?utm_source=price&amp;utm_medium=xlsx","открыть")</f>
        <v>открыть</v>
      </c>
    </row>
    <row r="1369">
      <c r="A1369" t="inlineStr">
        <is>
          <t xml:space="preserve">Мужской</t>
        </is>
      </c>
      <c r="B1369" t="inlineStr">
        <is>
          <t xml:space="preserve">Шорты</t>
        </is>
      </c>
      <c r="C1369" t="inlineStr">
        <is>
          <t xml:space="preserve">Шорты спортивные трикотажные хлопок свободные, мятный</t>
        </is>
      </c>
      <c r="D1369" t="inlineStr">
        <is>
          <t xml:space="preserve">BE52M03Мятный</t>
        </is>
      </c>
      <c r="E1369" t="inlineStr">
        <is>
          <t xml:space="preserve">мятный, пастельно-мятный</t>
        </is>
      </c>
      <c r="F1369" t="inlineStr">
        <is>
          <t xml:space="preserve">50</t>
        </is>
      </c>
      <c r="G1369">
        <v>21</v>
      </c>
      <c r="H1369" s="2">
        <v>33.0</v>
      </c>
      <c r="I1369" t="inlineStr">
        <is>
          <t xml:space="preserve">хлопок, полиэстер</t>
        </is>
      </c>
      <c r="J1369"/>
      <c r="K1369" t="inlineStr">
        <is>
          <t xml:space="preserve">Бангладеш</t>
        </is>
      </c>
      <c r="L1369" t="inlineStr">
        <is>
          <t xml:space="preserve">6203439000</t>
        </is>
      </c>
      <c r="M1369" t="inlineStr">
        <is>
          <t xml:space="preserve">Декларация № ЕАЭС № BY/112 11.01. ТР017 122.01 08246, до 19.04.2028</t>
        </is>
      </c>
      <c r="N1369" t="inlineStr">
        <is>
          <t xml:space="preserve">30 × 20 × 3</t>
        </is>
      </c>
      <c r="O1369" t="inlineStr">
        <is>
          <t xml:space="preserve">0,3</t>
        </is>
      </c>
      <c r="P1369" t="inlineStr">
        <is>
          <t xml:space="preserve">4816148163974</t>
        </is>
      </c>
      <c r="Q1369" s="3" t="str">
        <f>HYPERLINK("https://modify.by/img/398501664/1.webp","фото")</f>
        <v>фото</v>
      </c>
      <c r="R1369" s="3" t="str">
        <f>HYPERLINK("https://modify.by/catalog/shorty/398501664/?utm_source=price&amp;utm_medium=xlsx","открыть")</f>
        <v>открыть</v>
      </c>
    </row>
    <row r="1370">
      <c r="A1370" t="inlineStr">
        <is>
          <t xml:space="preserve">Мужской</t>
        </is>
      </c>
      <c r="B1370" t="inlineStr">
        <is>
          <t xml:space="preserve">Шорты</t>
        </is>
      </c>
      <c r="C1370" t="inlineStr">
        <is>
          <t xml:space="preserve">Шорты спортивные трикотажные хлопок свободные, мятный</t>
        </is>
      </c>
      <c r="D1370" t="inlineStr">
        <is>
          <t xml:space="preserve">BE52M03Мятный</t>
        </is>
      </c>
      <c r="E1370" t="inlineStr">
        <is>
          <t xml:space="preserve">мятный, пастельно-мятный</t>
        </is>
      </c>
      <c r="F1370" t="inlineStr">
        <is>
          <t xml:space="preserve">56</t>
        </is>
      </c>
      <c r="G1370">
        <v>4</v>
      </c>
      <c r="H1370" s="2">
        <v>33.0</v>
      </c>
      <c r="I1370" t="inlineStr">
        <is>
          <t xml:space="preserve">хлопок, полиэстер</t>
        </is>
      </c>
      <c r="J1370"/>
      <c r="K1370" t="inlineStr">
        <is>
          <t xml:space="preserve">Бангладеш</t>
        </is>
      </c>
      <c r="L1370" t="inlineStr">
        <is>
          <t xml:space="preserve">6203439000</t>
        </is>
      </c>
      <c r="M1370" t="inlineStr">
        <is>
          <t xml:space="preserve">Декларация № ЕАЭС № BY/112 11.01. ТР017 122.01 08246, до 19.04.2028</t>
        </is>
      </c>
      <c r="N1370" t="inlineStr">
        <is>
          <t xml:space="preserve">30 × 20 × 3</t>
        </is>
      </c>
      <c r="O1370" t="inlineStr">
        <is>
          <t xml:space="preserve">0,3</t>
        </is>
      </c>
      <c r="P1370" t="inlineStr">
        <is>
          <t xml:space="preserve">4816148164001</t>
        </is>
      </c>
      <c r="Q1370" s="3" t="str">
        <f>HYPERLINK("https://modify.by/img/398501664/1.webp","фото")</f>
        <v>фото</v>
      </c>
      <c r="R1370" s="3" t="str">
        <f>HYPERLINK("https://modify.by/catalog/shorty/398501664/?utm_source=price&amp;utm_medium=xlsx","открыть")</f>
        <v>открыть</v>
      </c>
    </row>
    <row r="1371">
      <c r="A1371" t="inlineStr">
        <is>
          <t xml:space="preserve">Мужской</t>
        </is>
      </c>
      <c r="B1371" t="inlineStr">
        <is>
          <t xml:space="preserve">Шорты</t>
        </is>
      </c>
      <c r="C1371" t="inlineStr">
        <is>
          <t xml:space="preserve">Шорты спортивные трикотажные хлопок свободные, серый, арт. BE52M03Серый</t>
        </is>
      </c>
      <c r="D1371" t="inlineStr">
        <is>
          <t xml:space="preserve">BE52M03Серый</t>
        </is>
      </c>
      <c r="E1371" t="inlineStr">
        <is>
          <t xml:space="preserve">серый, серый меланж</t>
        </is>
      </c>
      <c r="F1371" t="inlineStr">
        <is>
          <t xml:space="preserve">52</t>
        </is>
      </c>
      <c r="G1371">
        <v>53</v>
      </c>
      <c r="H1371" s="2">
        <v>33.0</v>
      </c>
      <c r="I1371" t="inlineStr">
        <is>
          <t xml:space="preserve">50% хлопок, 50% полиэстер</t>
        </is>
      </c>
      <c r="J1371"/>
      <c r="K1371" t="inlineStr">
        <is>
          <t xml:space="preserve">Бангладеш</t>
        </is>
      </c>
      <c r="L1371" t="inlineStr">
        <is>
          <t xml:space="preserve">6203439000</t>
        </is>
      </c>
      <c r="M1371" t="inlineStr">
        <is>
          <t xml:space="preserve">Декларация № ЕАЭС № BY/112 11.01. ТР017 122.01 08246, до 19.04.2028</t>
        </is>
      </c>
      <c r="N1371" t="inlineStr">
        <is>
          <t xml:space="preserve">30 × 20 × 3</t>
        </is>
      </c>
      <c r="O1371" t="inlineStr">
        <is>
          <t xml:space="preserve">0,3</t>
        </is>
      </c>
      <c r="P1371" t="inlineStr">
        <is>
          <t xml:space="preserve">4816148163943</t>
        </is>
      </c>
      <c r="Q1371" s="3" t="str">
        <f>HYPERLINK("https://modify.by/img/398503747/1.webp","фото")</f>
        <v>фото</v>
      </c>
      <c r="R1371" s="3" t="str">
        <f>HYPERLINK("https://modify.by/catalog/shorty/398503747/?utm_source=price&amp;utm_medium=xlsx","открыть")</f>
        <v>открыть</v>
      </c>
    </row>
    <row r="1372">
      <c r="A1372" t="inlineStr">
        <is>
          <t xml:space="preserve">Мужской</t>
        </is>
      </c>
      <c r="B1372" t="inlineStr">
        <is>
          <t xml:space="preserve">Шорты</t>
        </is>
      </c>
      <c r="C1372" t="inlineStr">
        <is>
          <t xml:space="preserve">Шорты спортивные трикотажные хлопок свободные, серый, арт. BE52M03Серый</t>
        </is>
      </c>
      <c r="D1372" t="inlineStr">
        <is>
          <t xml:space="preserve">BE52M03Серый</t>
        </is>
      </c>
      <c r="E1372" t="inlineStr">
        <is>
          <t xml:space="preserve">серый, серый меланж</t>
        </is>
      </c>
      <c r="F1372" t="inlineStr">
        <is>
          <t xml:space="preserve">54</t>
        </is>
      </c>
      <c r="G1372">
        <v>16</v>
      </c>
      <c r="H1372" s="2">
        <v>33.0</v>
      </c>
      <c r="I1372" t="inlineStr">
        <is>
          <t xml:space="preserve">50% хлопок, 50% полиэстер</t>
        </is>
      </c>
      <c r="J1372"/>
      <c r="K1372" t="inlineStr">
        <is>
          <t xml:space="preserve">Бангладеш</t>
        </is>
      </c>
      <c r="L1372" t="inlineStr">
        <is>
          <t xml:space="preserve">6203439000</t>
        </is>
      </c>
      <c r="M1372" t="inlineStr">
        <is>
          <t xml:space="preserve">Декларация № ЕАЭС № BY/112 11.01. ТР017 122.01 08246, до 19.04.2028</t>
        </is>
      </c>
      <c r="N1372" t="inlineStr">
        <is>
          <t xml:space="preserve">30 × 20 × 3</t>
        </is>
      </c>
      <c r="O1372" t="inlineStr">
        <is>
          <t xml:space="preserve">0,3</t>
        </is>
      </c>
      <c r="P1372" t="inlineStr">
        <is>
          <t xml:space="preserve">4816148163950</t>
        </is>
      </c>
      <c r="Q1372" s="3" t="str">
        <f>HYPERLINK("https://modify.by/img/398503747/1.webp","фото")</f>
        <v>фото</v>
      </c>
      <c r="R1372" s="3" t="str">
        <f>HYPERLINK("https://modify.by/catalog/shorty/398503747/?utm_source=price&amp;utm_medium=xlsx","открыть")</f>
        <v>открыть</v>
      </c>
    </row>
    <row r="1373">
      <c r="A1373" t="inlineStr">
        <is>
          <t xml:space="preserve">Мужской</t>
        </is>
      </c>
      <c r="B1373" t="inlineStr">
        <is>
          <t xml:space="preserve">Шорты</t>
        </is>
      </c>
      <c r="C1373" t="inlineStr">
        <is>
          <t xml:space="preserve">Шорты спортивные трикотажные хлопок свободные, серый, арт. BE52M03Серый</t>
        </is>
      </c>
      <c r="D1373" t="inlineStr">
        <is>
          <t xml:space="preserve">BE52M03Серый</t>
        </is>
      </c>
      <c r="E1373" t="inlineStr">
        <is>
          <t xml:space="preserve">серый, серый меланж</t>
        </is>
      </c>
      <c r="F1373" t="inlineStr">
        <is>
          <t xml:space="preserve">56</t>
        </is>
      </c>
      <c r="G1373">
        <v>9</v>
      </c>
      <c r="H1373" s="2">
        <v>33.0</v>
      </c>
      <c r="I1373" t="inlineStr">
        <is>
          <t xml:space="preserve">50% хлопок, 50% полиэстер</t>
        </is>
      </c>
      <c r="J1373"/>
      <c r="K1373" t="inlineStr">
        <is>
          <t xml:space="preserve">Бангладеш</t>
        </is>
      </c>
      <c r="L1373" t="inlineStr">
        <is>
          <t xml:space="preserve">6203439000</t>
        </is>
      </c>
      <c r="M1373" t="inlineStr">
        <is>
          <t xml:space="preserve">Декларация № ЕАЭС № BY/112 11.01. ТР017 122.01 08246, до 19.04.2028</t>
        </is>
      </c>
      <c r="N1373" t="inlineStr">
        <is>
          <t xml:space="preserve">30 × 20 × 3</t>
        </is>
      </c>
      <c r="O1373" t="inlineStr">
        <is>
          <t xml:space="preserve">0,3</t>
        </is>
      </c>
      <c r="P1373" t="inlineStr">
        <is>
          <t xml:space="preserve">4816148163967</t>
        </is>
      </c>
      <c r="Q1373" s="3" t="str">
        <f>HYPERLINK("https://modify.by/img/398503747/1.webp","фото")</f>
        <v>фото</v>
      </c>
      <c r="R1373" s="3" t="str">
        <f>HYPERLINK("https://modify.by/catalog/shorty/398503747/?utm_source=price&amp;utm_medium=xlsx","открыть")</f>
        <v>открыть</v>
      </c>
    </row>
    <row r="1374">
      <c r="A1374" t="inlineStr">
        <is>
          <t xml:space="preserve">Мужской</t>
        </is>
      </c>
      <c r="B1374" t="inlineStr">
        <is>
          <t xml:space="preserve">Шорты</t>
        </is>
      </c>
      <c r="C1374" t="inlineStr">
        <is>
          <t xml:space="preserve">Шорты спортивные трикотажные хлопок свободные, серый, арт. BE52M03Темно-серый</t>
        </is>
      </c>
      <c r="D1374" t="inlineStr">
        <is>
          <t xml:space="preserve">BE52M03Темно-серый</t>
        </is>
      </c>
      <c r="E1374" t="inlineStr">
        <is>
          <t xml:space="preserve">серый, серый меланж</t>
        </is>
      </c>
      <c r="F1374" t="inlineStr">
        <is>
          <t xml:space="preserve">50</t>
        </is>
      </c>
      <c r="G1374">
        <v>146</v>
      </c>
      <c r="H1374" s="2">
        <v>33.0</v>
      </c>
      <c r="I1374" t="inlineStr">
        <is>
          <t xml:space="preserve">50% хлопок, 50% полиэстер</t>
        </is>
      </c>
      <c r="J1374"/>
      <c r="K1374" t="inlineStr">
        <is>
          <t xml:space="preserve">Бангладеш</t>
        </is>
      </c>
      <c r="L1374" t="inlineStr">
        <is>
          <t xml:space="preserve">6203439000</t>
        </is>
      </c>
      <c r="M1374" t="inlineStr">
        <is>
          <t xml:space="preserve">Декларация № ЕАЭС № BY/112 11.01. ТР017 122.01 08246, до 19.04.2028</t>
        </is>
      </c>
      <c r="N1374" t="inlineStr">
        <is>
          <t xml:space="preserve">30 × 20 × 3</t>
        </is>
      </c>
      <c r="O1374" t="inlineStr">
        <is>
          <t xml:space="preserve">0,3</t>
        </is>
      </c>
      <c r="P1374" t="inlineStr">
        <is>
          <t xml:space="preserve">4816148163899</t>
        </is>
      </c>
      <c r="Q1374" s="3" t="str">
        <f>HYPERLINK("https://modify.by/img/398532379/1.webp","фото")</f>
        <v>фото</v>
      </c>
      <c r="R1374" s="3" t="str">
        <f>HYPERLINK("https://modify.by/catalog/shorty/398532379/?utm_source=price&amp;utm_medium=xlsx","открыть")</f>
        <v>открыть</v>
      </c>
    </row>
    <row r="1375">
      <c r="A1375" t="inlineStr">
        <is>
          <t xml:space="preserve">Мужской</t>
        </is>
      </c>
      <c r="B1375" t="inlineStr">
        <is>
          <t xml:space="preserve">Шорты</t>
        </is>
      </c>
      <c r="C1375" t="inlineStr">
        <is>
          <t xml:space="preserve">Шорты спортивные трикотажные хлопок свободные, серый, арт. BE52M03Темно-серый</t>
        </is>
      </c>
      <c r="D1375" t="inlineStr">
        <is>
          <t xml:space="preserve">BE52M03Темно-серый</t>
        </is>
      </c>
      <c r="E1375" t="inlineStr">
        <is>
          <t xml:space="preserve">серый, серый меланж</t>
        </is>
      </c>
      <c r="F1375" t="inlineStr">
        <is>
          <t xml:space="preserve">52</t>
        </is>
      </c>
      <c r="G1375">
        <v>24</v>
      </c>
      <c r="H1375" s="2">
        <v>33.0</v>
      </c>
      <c r="I1375" t="inlineStr">
        <is>
          <t xml:space="preserve">50% хлопок, 50% полиэстер</t>
        </is>
      </c>
      <c r="J1375"/>
      <c r="K1375" t="inlineStr">
        <is>
          <t xml:space="preserve">Бангладеш</t>
        </is>
      </c>
      <c r="L1375" t="inlineStr">
        <is>
          <t xml:space="preserve">6203439000</t>
        </is>
      </c>
      <c r="M1375" t="inlineStr">
        <is>
          <t xml:space="preserve">Декларация № ЕАЭС № BY/112 11.01. ТР017 122.01 08246, до 19.04.2028</t>
        </is>
      </c>
      <c r="N1375" t="inlineStr">
        <is>
          <t xml:space="preserve">30 × 20 × 3</t>
        </is>
      </c>
      <c r="O1375" t="inlineStr">
        <is>
          <t xml:space="preserve">0,3</t>
        </is>
      </c>
      <c r="P1375" t="inlineStr">
        <is>
          <t xml:space="preserve">4816148163905</t>
        </is>
      </c>
      <c r="Q1375" s="3" t="str">
        <f>HYPERLINK("https://modify.by/img/398532379/1.webp","фото")</f>
        <v>фото</v>
      </c>
      <c r="R1375" s="3" t="str">
        <f>HYPERLINK("https://modify.by/catalog/shorty/398532379/?utm_source=price&amp;utm_medium=xlsx","открыть")</f>
        <v>открыть</v>
      </c>
    </row>
    <row r="1376">
      <c r="A1376" t="inlineStr">
        <is>
          <t xml:space="preserve">Мужской</t>
        </is>
      </c>
      <c r="B1376" t="inlineStr">
        <is>
          <t xml:space="preserve">Шорты</t>
        </is>
      </c>
      <c r="C1376" t="inlineStr">
        <is>
          <t xml:space="preserve">Шорты спортивные трикотажные хлопок свободные, серый, арт. BE52M03Темно-серый</t>
        </is>
      </c>
      <c r="D1376" t="inlineStr">
        <is>
          <t xml:space="preserve">BE52M03Темно-серый</t>
        </is>
      </c>
      <c r="E1376" t="inlineStr">
        <is>
          <t xml:space="preserve">серый, серый меланж</t>
        </is>
      </c>
      <c r="F1376" t="inlineStr">
        <is>
          <t xml:space="preserve">58</t>
        </is>
      </c>
      <c r="G1376">
        <v>3</v>
      </c>
      <c r="H1376" s="2">
        <v>33.0</v>
      </c>
      <c r="I1376" t="inlineStr">
        <is>
          <t xml:space="preserve">50% хлопок, 50% полиэстер</t>
        </is>
      </c>
      <c r="J1376"/>
      <c r="K1376" t="inlineStr">
        <is>
          <t xml:space="preserve">Бангладеш</t>
        </is>
      </c>
      <c r="L1376" t="inlineStr">
        <is>
          <t xml:space="preserve">6203439000</t>
        </is>
      </c>
      <c r="M1376" t="inlineStr">
        <is>
          <t xml:space="preserve">Декларация № ЕАЭС № BY/112 11.01. ТР017 122.01 08246, до 19.04.2028</t>
        </is>
      </c>
      <c r="N1376" t="inlineStr">
        <is>
          <t xml:space="preserve">30 × 20 × 3</t>
        </is>
      </c>
      <c r="O1376" t="inlineStr">
        <is>
          <t xml:space="preserve">0,3</t>
        </is>
      </c>
      <c r="P1376" t="inlineStr">
        <is>
          <t xml:space="preserve">4816148164698</t>
        </is>
      </c>
      <c r="Q1376" s="3" t="str">
        <f>HYPERLINK("https://modify.by/img/398532379/1.webp","фото")</f>
        <v>фото</v>
      </c>
      <c r="R1376" s="3" t="str">
        <f>HYPERLINK("https://modify.by/catalog/shorty/398532379/?utm_source=price&amp;utm_medium=xlsx","открыть")</f>
        <v>открыть</v>
      </c>
    </row>
    <row r="1377">
      <c r="A1377" t="inlineStr">
        <is>
          <t xml:space="preserve">Мужской</t>
        </is>
      </c>
      <c r="B1377" t="inlineStr">
        <is>
          <t xml:space="preserve">Шорты</t>
        </is>
      </c>
      <c r="C1377" t="inlineStr">
        <is>
          <t xml:space="preserve">Шорты спортивные трикотажные хлопок свободные, темно-синий</t>
        </is>
      </c>
      <c r="D1377" t="inlineStr">
        <is>
          <t xml:space="preserve">BE52M03Темно-синий</t>
        </is>
      </c>
      <c r="E1377" t="inlineStr">
        <is>
          <t xml:space="preserve">темно-синий</t>
        </is>
      </c>
      <c r="F1377" t="inlineStr">
        <is>
          <t xml:space="preserve">50</t>
        </is>
      </c>
      <c r="G1377">
        <v>79</v>
      </c>
      <c r="H1377" s="2">
        <v>33.0</v>
      </c>
      <c r="I1377" t="inlineStr">
        <is>
          <t xml:space="preserve">50% хлопок, 50% полиэстер</t>
        </is>
      </c>
      <c r="J1377"/>
      <c r="K1377" t="inlineStr">
        <is>
          <t xml:space="preserve">Бангладеш</t>
        </is>
      </c>
      <c r="L1377" t="inlineStr">
        <is>
          <t xml:space="preserve">6203439000</t>
        </is>
      </c>
      <c r="M1377" t="inlineStr">
        <is>
          <t xml:space="preserve">Декларация № ЕАЭС № BY/112 11.01. ТР017 122.01 08246, до 19.04.2028</t>
        </is>
      </c>
      <c r="N1377" t="inlineStr">
        <is>
          <t xml:space="preserve">30 × 20 × 3</t>
        </is>
      </c>
      <c r="O1377" t="inlineStr">
        <is>
          <t xml:space="preserve">0,3</t>
        </is>
      </c>
      <c r="P1377" t="inlineStr">
        <is>
          <t xml:space="preserve">4816148163851</t>
        </is>
      </c>
      <c r="Q1377" s="3" t="str">
        <f>HYPERLINK("https://modify.by/img/398534200/1.webp","фото")</f>
        <v>фото</v>
      </c>
      <c r="R1377" s="3" t="str">
        <f>HYPERLINK("https://modify.by/catalog/shorty/398534200/?utm_source=price&amp;utm_medium=xlsx","открыть")</f>
        <v>открыть</v>
      </c>
    </row>
    <row r="1378">
      <c r="A1378" t="inlineStr">
        <is>
          <t xml:space="preserve">Мужской</t>
        </is>
      </c>
      <c r="B1378" t="inlineStr">
        <is>
          <t xml:space="preserve">Шорты</t>
        </is>
      </c>
      <c r="C1378" t="inlineStr">
        <is>
          <t xml:space="preserve">Шорты спортивные трикотажные хлопок свободные, темно-синий</t>
        </is>
      </c>
      <c r="D1378" t="inlineStr">
        <is>
          <t xml:space="preserve">BE52M03Темно-синий</t>
        </is>
      </c>
      <c r="E1378" t="inlineStr">
        <is>
          <t xml:space="preserve">темно-синий</t>
        </is>
      </c>
      <c r="F1378" t="inlineStr">
        <is>
          <t xml:space="preserve">52</t>
        </is>
      </c>
      <c r="G1378">
        <v>80</v>
      </c>
      <c r="H1378" s="2">
        <v>33.0</v>
      </c>
      <c r="I1378" t="inlineStr">
        <is>
          <t xml:space="preserve">50% хлопок, 50% полиэстер</t>
        </is>
      </c>
      <c r="J1378"/>
      <c r="K1378" t="inlineStr">
        <is>
          <t xml:space="preserve">Бангладеш</t>
        </is>
      </c>
      <c r="L1378" t="inlineStr">
        <is>
          <t xml:space="preserve">6203439000</t>
        </is>
      </c>
      <c r="M1378" t="inlineStr">
        <is>
          <t xml:space="preserve">Декларация № ЕАЭС № BY/112 11.01. ТР017 122.01 08246, до 19.04.2028</t>
        </is>
      </c>
      <c r="N1378" t="inlineStr">
        <is>
          <t xml:space="preserve">30 × 20 × 3</t>
        </is>
      </c>
      <c r="O1378" t="inlineStr">
        <is>
          <t xml:space="preserve">0,3</t>
        </is>
      </c>
      <c r="P1378" t="inlineStr">
        <is>
          <t xml:space="preserve">4816148163868</t>
        </is>
      </c>
      <c r="Q1378" s="3" t="str">
        <f>HYPERLINK("https://modify.by/img/398534200/1.webp","фото")</f>
        <v>фото</v>
      </c>
      <c r="R1378" s="3" t="str">
        <f>HYPERLINK("https://modify.by/catalog/shorty/398534200/?utm_source=price&amp;utm_medium=xlsx","открыть")</f>
        <v>открыть</v>
      </c>
    </row>
    <row r="1379">
      <c r="A1379" t="inlineStr">
        <is>
          <t xml:space="preserve">Мужской</t>
        </is>
      </c>
      <c r="B1379" t="inlineStr">
        <is>
          <t xml:space="preserve">Шорты</t>
        </is>
      </c>
      <c r="C1379" t="inlineStr">
        <is>
          <t xml:space="preserve">Шорты спортивные трикотажные хлопок свободные, темно-синий</t>
        </is>
      </c>
      <c r="D1379" t="inlineStr">
        <is>
          <t xml:space="preserve">BE52M03Темно-синий</t>
        </is>
      </c>
      <c r="E1379" t="inlineStr">
        <is>
          <t xml:space="preserve">темно-синий</t>
        </is>
      </c>
      <c r="F1379" t="inlineStr">
        <is>
          <t xml:space="preserve">54</t>
        </is>
      </c>
      <c r="G1379">
        <v>24</v>
      </c>
      <c r="H1379" s="2">
        <v>33.0</v>
      </c>
      <c r="I1379" t="inlineStr">
        <is>
          <t xml:space="preserve">50% хлопок, 50% полиэстер</t>
        </is>
      </c>
      <c r="J1379"/>
      <c r="K1379" t="inlineStr">
        <is>
          <t xml:space="preserve">Бангладеш</t>
        </is>
      </c>
      <c r="L1379" t="inlineStr">
        <is>
          <t xml:space="preserve">6203439000</t>
        </is>
      </c>
      <c r="M1379" t="inlineStr">
        <is>
          <t xml:space="preserve">Декларация № ЕАЭС № BY/112 11.01. ТР017 122.01 08246, до 19.04.2028</t>
        </is>
      </c>
      <c r="N1379" t="inlineStr">
        <is>
          <t xml:space="preserve">30 × 20 × 3</t>
        </is>
      </c>
      <c r="O1379" t="inlineStr">
        <is>
          <t xml:space="preserve">0,3</t>
        </is>
      </c>
      <c r="P1379" t="inlineStr">
        <is>
          <t xml:space="preserve">4816148163875</t>
        </is>
      </c>
      <c r="Q1379" s="3" t="str">
        <f>HYPERLINK("https://modify.by/img/398534200/1.webp","фото")</f>
        <v>фото</v>
      </c>
      <c r="R1379" s="3" t="str">
        <f>HYPERLINK("https://modify.by/catalog/shorty/398534200/?utm_source=price&amp;utm_medium=xlsx","открыть")</f>
        <v>открыть</v>
      </c>
    </row>
    <row r="1380">
      <c r="A1380" t="inlineStr">
        <is>
          <t xml:space="preserve">Мужской</t>
        </is>
      </c>
      <c r="B1380" t="inlineStr">
        <is>
          <t xml:space="preserve">Шорты</t>
        </is>
      </c>
      <c r="C1380" t="inlineStr">
        <is>
          <t xml:space="preserve">Шорты хлопковые</t>
        </is>
      </c>
      <c r="D1380" t="inlineStr">
        <is>
          <t xml:space="preserve">BE32M11Хаки</t>
        </is>
      </c>
      <c r="E1380" t="inlineStr">
        <is>
          <t xml:space="preserve">хаки</t>
        </is>
      </c>
      <c r="F1380" t="inlineStr">
        <is>
          <t xml:space="preserve">46</t>
        </is>
      </c>
      <c r="G1380">
        <v>3</v>
      </c>
      <c r="H1380" s="2">
        <v>24.0</v>
      </c>
      <c r="I1380" t="inlineStr">
        <is>
          <t xml:space="preserve">100% хлопок</t>
        </is>
      </c>
      <c r="J1380"/>
      <c r="K1380" t="inlineStr">
        <is>
          <t xml:space="preserve">Бангладеш</t>
        </is>
      </c>
      <c r="L1380" t="inlineStr">
        <is>
          <t xml:space="preserve">6203429000</t>
        </is>
      </c>
      <c r="M1380" t="inlineStr">
        <is>
          <t xml:space="preserve">Декларация № ЕАЭС № BY/112 11.01. ТР017 122.01 08246, до 19.04.2028</t>
        </is>
      </c>
      <c r="N1380" t="inlineStr">
        <is>
          <t xml:space="preserve">35 × 30 × 4</t>
        </is>
      </c>
      <c r="O1380" t="inlineStr">
        <is>
          <t xml:space="preserve">0,35</t>
        </is>
      </c>
      <c r="P1380" t="inlineStr">
        <is>
          <t xml:space="preserve">2026620787532</t>
        </is>
      </c>
      <c r="Q1380" s="3" t="str">
        <f>HYPERLINK("https://modify.by/img/149603619/1.webp","фото")</f>
        <v>фото</v>
      </c>
      <c r="R1380" s="3" t="str">
        <f>HYPERLINK("https://modify.by/catalog/shorty/149603619/?utm_source=price&amp;utm_medium=xlsx","открыть")</f>
        <v>открыть</v>
      </c>
    </row>
    <row r="1381">
      <c r="A1381" t="inlineStr">
        <is>
          <t xml:space="preserve">Мужской</t>
        </is>
      </c>
      <c r="B1381" t="inlineStr">
        <is>
          <t xml:space="preserve">Шорты</t>
        </is>
      </c>
      <c r="C1381" t="inlineStr">
        <is>
          <t xml:space="preserve">Шорты хлопковые до колена базовые</t>
        </is>
      </c>
      <c r="D1381" t="inlineStr">
        <is>
          <t xml:space="preserve">BR12M05*Песочный</t>
        </is>
      </c>
      <c r="E1381" t="inlineStr">
        <is>
          <t xml:space="preserve">песочный</t>
        </is>
      </c>
      <c r="F1381" t="inlineStr">
        <is>
          <t xml:space="preserve">50</t>
        </is>
      </c>
      <c r="G1381">
        <v>1</v>
      </c>
      <c r="H1381" s="2">
        <v>23.0</v>
      </c>
      <c r="I1381" t="inlineStr">
        <is>
          <t xml:space="preserve">хлопок 100%</t>
        </is>
      </c>
      <c r="J1381"/>
      <c r="K1381" t="inlineStr">
        <is>
          <t xml:space="preserve">Бангладеш</t>
        </is>
      </c>
      <c r="L1381" t="inlineStr">
        <is>
          <t xml:space="preserve">6204639000</t>
        </is>
      </c>
      <c r="M1381" t="inlineStr">
        <is>
          <t xml:space="preserve">Декларация № ЕАЭС № BY/112 11.01. ТР017 122.01 08246, до 19.04.2028</t>
        </is>
      </c>
      <c r="N1381" t="inlineStr">
        <is>
          <t xml:space="preserve">2 × 30 × 35</t>
        </is>
      </c>
      <c r="O1381" t="inlineStr">
        <is>
          <t xml:space="preserve">0,65</t>
        </is>
      </c>
      <c r="P1381" t="inlineStr">
        <is>
          <t xml:space="preserve">2004452842872</t>
        </is>
      </c>
      <c r="Q1381" s="3" t="str">
        <f>HYPERLINK("https://modify.by/img/74288072/1.webp","фото")</f>
        <v>фото</v>
      </c>
      <c r="R1381" s="3" t="str">
        <f>HYPERLINK("https://modify.by/catalog/shorty/74288072/?utm_source=price&amp;utm_medium=xlsx","открыть")</f>
        <v>открыть</v>
      </c>
    </row>
    <row r="1382">
      <c r="A1382" t="inlineStr">
        <is>
          <t xml:space="preserve">Мужской</t>
        </is>
      </c>
      <c r="B1382" t="inlineStr">
        <is>
          <t xml:space="preserve">Шорты</t>
        </is>
      </c>
      <c r="C1382" t="inlineStr">
        <is>
          <t xml:space="preserve">Шорты хлопковые до колена базовые</t>
        </is>
      </c>
      <c r="D1382" t="inlineStr">
        <is>
          <t xml:space="preserve">BR12M05*Песочный</t>
        </is>
      </c>
      <c r="E1382" t="inlineStr">
        <is>
          <t xml:space="preserve">песочный</t>
        </is>
      </c>
      <c r="F1382" t="inlineStr">
        <is>
          <t xml:space="preserve">50</t>
        </is>
      </c>
      <c r="G1382">
        <v>1</v>
      </c>
      <c r="H1382" s="2">
        <v>23.0</v>
      </c>
      <c r="I1382" t="inlineStr">
        <is>
          <t xml:space="preserve">хлопок 100%</t>
        </is>
      </c>
      <c r="J1382"/>
      <c r="K1382" t="inlineStr">
        <is>
          <t xml:space="preserve">Бангладеш</t>
        </is>
      </c>
      <c r="L1382" t="inlineStr">
        <is>
          <t xml:space="preserve">6204639000</t>
        </is>
      </c>
      <c r="M1382" t="inlineStr">
        <is>
          <t xml:space="preserve">Декларация № ЕАЭС № BY/112 11.01. ТР017 122.01 08246, до 19.04.2028</t>
        </is>
      </c>
      <c r="N1382" t="inlineStr">
        <is>
          <t xml:space="preserve">2 × 30 × 35</t>
        </is>
      </c>
      <c r="O1382" t="inlineStr">
        <is>
          <t xml:space="preserve">0,65</t>
        </is>
      </c>
      <c r="P1382" t="inlineStr">
        <is>
          <t xml:space="preserve">4816148179555</t>
        </is>
      </c>
      <c r="Q1382" s="3" t="str">
        <f>HYPERLINK("https://modify.by/img/74288072/1.webp","фото")</f>
        <v>фото</v>
      </c>
      <c r="R1382" s="3" t="str">
        <f>HYPERLINK("https://modify.by/catalog/shorty/74288072/?utm_source=price&amp;utm_medium=xlsx","открыть")</f>
        <v>открыть</v>
      </c>
    </row>
    <row r="1383">
      <c r="A1383" t="inlineStr">
        <is>
          <t xml:space="preserve">Мужской</t>
        </is>
      </c>
      <c r="B1383" t="inlineStr">
        <is>
          <t xml:space="preserve">Шорты</t>
        </is>
      </c>
      <c r="C1383" t="inlineStr">
        <is>
          <t xml:space="preserve">Шорты чинос хлопковые нарядные</t>
        </is>
      </c>
      <c r="D1383" t="inlineStr">
        <is>
          <t xml:space="preserve">BR12M04*Синий</t>
        </is>
      </c>
      <c r="E1383" t="inlineStr">
        <is>
          <t xml:space="preserve">синий</t>
        </is>
      </c>
      <c r="F1383" t="inlineStr">
        <is>
          <t xml:space="preserve">46</t>
        </is>
      </c>
      <c r="G1383">
        <v>2</v>
      </c>
      <c r="H1383" s="2">
        <v>25.0</v>
      </c>
      <c r="I1383" t="inlineStr">
        <is>
          <t xml:space="preserve">хлопок 100%</t>
        </is>
      </c>
      <c r="J1383" t="inlineStr">
        <is>
          <t xml:space="preserve">лето</t>
        </is>
      </c>
      <c r="K1383" t="inlineStr">
        <is>
          <t xml:space="preserve">Бангладеш</t>
        </is>
      </c>
      <c r="L1383" t="inlineStr">
        <is>
          <t xml:space="preserve">6204639000</t>
        </is>
      </c>
      <c r="M1383" t="inlineStr">
        <is>
          <t xml:space="preserve">Декларация № ЕАЭС № BY/112 11.01. ТР017 122.01 08246, до 19.04.2028</t>
        </is>
      </c>
      <c r="N1383" t="inlineStr">
        <is>
          <t xml:space="preserve">2 × 30 × 35</t>
        </is>
      </c>
      <c r="O1383" t="inlineStr">
        <is>
          <t xml:space="preserve">0,6</t>
        </is>
      </c>
      <c r="P1383" t="inlineStr">
        <is>
          <t xml:space="preserve">2004452902415</t>
        </is>
      </c>
      <c r="Q1383" s="3" t="str">
        <f>HYPERLINK("https://modify.by/img/74288061/1.webp","фото")</f>
        <v>фото</v>
      </c>
      <c r="R1383" s="3" t="str">
        <f>HYPERLINK("https://modify.by/catalog/shorty/74288061/?utm_source=price&amp;utm_medium=xlsx","открыть")</f>
        <v>открыть</v>
      </c>
    </row>
    <row r="1384">
      <c r="A1384" t="inlineStr">
        <is>
          <t xml:space="preserve">Мужской</t>
        </is>
      </c>
      <c r="B1384" t="inlineStr">
        <is>
          <t xml:space="preserve">Шорты</t>
        </is>
      </c>
      <c r="C1384" t="inlineStr">
        <is>
          <t xml:space="preserve">Шорты чинос хлопковые нарядные</t>
        </is>
      </c>
      <c r="D1384" t="inlineStr">
        <is>
          <t xml:space="preserve">BR12M04*Синий</t>
        </is>
      </c>
      <c r="E1384" t="inlineStr">
        <is>
          <t xml:space="preserve">синий</t>
        </is>
      </c>
      <c r="F1384" t="inlineStr">
        <is>
          <t xml:space="preserve">46</t>
        </is>
      </c>
      <c r="G1384">
        <v>2</v>
      </c>
      <c r="H1384" s="2">
        <v>25.0</v>
      </c>
      <c r="I1384" t="inlineStr">
        <is>
          <t xml:space="preserve">хлопок 100%</t>
        </is>
      </c>
      <c r="J1384" t="inlineStr">
        <is>
          <t xml:space="preserve">лето</t>
        </is>
      </c>
      <c r="K1384" t="inlineStr">
        <is>
          <t xml:space="preserve">Бангладеш</t>
        </is>
      </c>
      <c r="L1384" t="inlineStr">
        <is>
          <t xml:space="preserve">6204639000</t>
        </is>
      </c>
      <c r="M1384" t="inlineStr">
        <is>
          <t xml:space="preserve">Декларация № ЕАЭС № BY/112 11.01. ТР017 122.01 08246, до 19.04.2028</t>
        </is>
      </c>
      <c r="N1384" t="inlineStr">
        <is>
          <t xml:space="preserve">2 × 30 × 35</t>
        </is>
      </c>
      <c r="O1384" t="inlineStr">
        <is>
          <t xml:space="preserve">0,6</t>
        </is>
      </c>
      <c r="P1384" t="inlineStr">
        <is>
          <t xml:space="preserve">4816148179548</t>
        </is>
      </c>
      <c r="Q1384" s="3" t="str">
        <f>HYPERLINK("https://modify.by/img/74288061/1.webp","фото")</f>
        <v>фото</v>
      </c>
      <c r="R1384" s="3" t="str">
        <f>HYPERLINK("https://modify.by/catalog/shorty/74288061/?utm_source=price&amp;utm_medium=xlsx","открыть")</f>
        <v>открыть</v>
      </c>
    </row>
    <row r="1385">
      <c r="A1385" t="inlineStr">
        <is>
          <t xml:space="preserve">Мужской</t>
        </is>
      </c>
      <c r="B1385" t="inlineStr">
        <is>
          <t xml:space="preserve">Шорты</t>
        </is>
      </c>
      <c r="C1385" t="inlineStr">
        <is>
          <t xml:space="preserve">Шорты, серый</t>
        </is>
      </c>
      <c r="D1385" t="inlineStr">
        <is>
          <t xml:space="preserve">BR12M06**Серый</t>
        </is>
      </c>
      <c r="E1385" t="inlineStr">
        <is>
          <t xml:space="preserve">серый</t>
        </is>
      </c>
      <c r="F1385" t="inlineStr">
        <is>
          <t xml:space="preserve">40-42</t>
        </is>
      </c>
      <c r="G1385">
        <v>3</v>
      </c>
      <c r="H1385" s="2">
        <v>31.0</v>
      </c>
      <c r="I1385" t="inlineStr">
        <is>
          <t xml:space="preserve">Эластан 5%, вискоза 33%, полиэстер 62%</t>
        </is>
      </c>
      <c r="J1385"/>
      <c r="K1385" t="inlineStr">
        <is>
          <t xml:space="preserve">Бангладеш</t>
        </is>
      </c>
      <c r="L1385" t="inlineStr">
        <is>
          <t xml:space="preserve">6204639000</t>
        </is>
      </c>
      <c r="M1385" t="inlineStr">
        <is>
          <t xml:space="preserve">Декларация № ЕАЭС № BY/112 11.01. ТР017 122.01 08246, до 19.04.2028</t>
        </is>
      </c>
      <c r="N1385" t="inlineStr">
        <is>
          <t xml:space="preserve">35 × 30 × 3</t>
        </is>
      </c>
      <c r="O1385" t="inlineStr">
        <is>
          <t xml:space="preserve">0,28</t>
        </is>
      </c>
      <c r="P1385" t="inlineStr">
        <is>
          <t xml:space="preserve">4816148126627</t>
        </is>
      </c>
      <c r="Q1385" s="3" t="str">
        <f>HYPERLINK("https://modify.by/img/66231034/1.webp","фото")</f>
        <v>фото</v>
      </c>
      <c r="R1385" s="3" t="str">
        <f>HYPERLINK("https://modify.by/catalog/shorty/66231034/?utm_source=price&amp;utm_medium=xlsx","открыть")</f>
        <v>открыть</v>
      </c>
    </row>
    <row r="1386">
      <c r="A1386" t="inlineStr">
        <is>
          <t xml:space="preserve">Мужской</t>
        </is>
      </c>
      <c r="B1386" t="inlineStr">
        <is>
          <t xml:space="preserve">Шорты</t>
        </is>
      </c>
      <c r="C1386" t="inlineStr">
        <is>
          <t xml:space="preserve">Шорты, серый</t>
        </is>
      </c>
      <c r="D1386" t="inlineStr">
        <is>
          <t xml:space="preserve">BR12M06**Серый</t>
        </is>
      </c>
      <c r="E1386" t="inlineStr">
        <is>
          <t xml:space="preserve">серый</t>
        </is>
      </c>
      <c r="F1386" t="inlineStr">
        <is>
          <t xml:space="preserve">48-50</t>
        </is>
      </c>
      <c r="G1386">
        <v>2</v>
      </c>
      <c r="H1386" s="2">
        <v>31.0</v>
      </c>
      <c r="I1386" t="inlineStr">
        <is>
          <t xml:space="preserve">Эластан 5%, вискоза 33%, полиэстер 62%</t>
        </is>
      </c>
      <c r="J1386"/>
      <c r="K1386" t="inlineStr">
        <is>
          <t xml:space="preserve">Бангладеш</t>
        </is>
      </c>
      <c r="L1386" t="inlineStr">
        <is>
          <t xml:space="preserve">6204639000</t>
        </is>
      </c>
      <c r="M1386" t="inlineStr">
        <is>
          <t xml:space="preserve">Декларация № ЕАЭС № BY/112 11.01. ТР017 122.01 08246, до 19.04.2028</t>
        </is>
      </c>
      <c r="N1386" t="inlineStr">
        <is>
          <t xml:space="preserve">35 × 30 × 3</t>
        </is>
      </c>
      <c r="O1386" t="inlineStr">
        <is>
          <t xml:space="preserve">0,28</t>
        </is>
      </c>
      <c r="P1386" t="inlineStr">
        <is>
          <t xml:space="preserve">4816148179579</t>
        </is>
      </c>
      <c r="Q1386" s="3" t="str">
        <f>HYPERLINK("https://modify.by/img/66231034/1.webp","фото")</f>
        <v>фото</v>
      </c>
      <c r="R1386" s="3" t="str">
        <f>HYPERLINK("https://modify.by/catalog/shorty/66231034/?utm_source=price&amp;utm_medium=xlsx","открыть")</f>
        <v>открыть</v>
      </c>
    </row>
    <row r="1387">
      <c r="A1387" t="inlineStr">
        <is>
          <t xml:space="preserve">Мужской</t>
        </is>
      </c>
      <c r="B1387" t="inlineStr">
        <is>
          <t xml:space="preserve">Шорты</t>
        </is>
      </c>
      <c r="C1387" t="inlineStr">
        <is>
          <t xml:space="preserve">Шорты, темно-зеленый</t>
        </is>
      </c>
      <c r="D1387" t="inlineStr">
        <is>
          <t xml:space="preserve">BR12M06**Темно-зеленый</t>
        </is>
      </c>
      <c r="E1387" t="inlineStr">
        <is>
          <t xml:space="preserve">темно-зеленый</t>
        </is>
      </c>
      <c r="F1387" t="inlineStr">
        <is>
          <t xml:space="preserve">40-42</t>
        </is>
      </c>
      <c r="G1387">
        <v>2</v>
      </c>
      <c r="H1387" s="2">
        <v>31.0</v>
      </c>
      <c r="I1387" t="inlineStr">
        <is>
          <t xml:space="preserve">Эластан 5%, вискоза 33%, полиэстер 62%</t>
        </is>
      </c>
      <c r="J1387"/>
      <c r="K1387" t="inlineStr">
        <is>
          <t xml:space="preserve">Бангладеш</t>
        </is>
      </c>
      <c r="L1387" t="inlineStr">
        <is>
          <t xml:space="preserve">6204639000</t>
        </is>
      </c>
      <c r="M1387" t="inlineStr">
        <is>
          <t xml:space="preserve">Декларация № ЕАЭС № BY/112 11.01. ТР017 122.01 08246, до 19.04.2028</t>
        </is>
      </c>
      <c r="N1387" t="inlineStr">
        <is>
          <t xml:space="preserve">35 × 30 × 3</t>
        </is>
      </c>
      <c r="O1387" t="inlineStr">
        <is>
          <t xml:space="preserve">0,28</t>
        </is>
      </c>
      <c r="P1387" t="inlineStr">
        <is>
          <t xml:space="preserve">4816148126641</t>
        </is>
      </c>
      <c r="Q1387" s="3" t="str">
        <f>HYPERLINK("https://modify.by/img/66231035/1.webp","фото")</f>
        <v>фото</v>
      </c>
      <c r="R1387" s="3" t="str">
        <f>HYPERLINK("https://modify.by/catalog/shorty/66231035/?utm_source=price&amp;utm_medium=xlsx","открыть")</f>
        <v>открыть</v>
      </c>
    </row>
    <row r="1388">
      <c r="A1388" t="inlineStr">
        <is>
          <t xml:space="preserve">Мужской</t>
        </is>
      </c>
      <c r="B1388" t="inlineStr">
        <is>
          <t xml:space="preserve">Шорты</t>
        </is>
      </c>
      <c r="C1388" t="inlineStr">
        <is>
          <t xml:space="preserve">Шорты, темно-синий</t>
        </is>
      </c>
      <c r="D1388" t="inlineStr">
        <is>
          <t xml:space="preserve">BS12M03*Темно-синий</t>
        </is>
      </c>
      <c r="E1388" t="inlineStr">
        <is>
          <t xml:space="preserve">темно-синий</t>
        </is>
      </c>
      <c r="F1388" t="inlineStr">
        <is>
          <t xml:space="preserve">50-52</t>
        </is>
      </c>
      <c r="G1388">
        <v>31</v>
      </c>
      <c r="H1388" s="2">
        <v>17.0</v>
      </c>
      <c r="I1388" t="inlineStr">
        <is>
          <t xml:space="preserve">полиэстер 100%</t>
        </is>
      </c>
      <c r="J1388"/>
      <c r="K1388" t="inlineStr">
        <is>
          <t xml:space="preserve">Бангладеш</t>
        </is>
      </c>
      <c r="L1388" t="inlineStr">
        <is>
          <t xml:space="preserve">6204639000</t>
        </is>
      </c>
      <c r="M1388" t="inlineStr">
        <is>
          <t xml:space="preserve">по запросу</t>
        </is>
      </c>
      <c r="N1388" t="inlineStr">
        <is>
          <t xml:space="preserve">32 × 30 × 3</t>
        </is>
      </c>
      <c r="O1388" t="inlineStr">
        <is>
          <t xml:space="preserve">0,2</t>
        </is>
      </c>
      <c r="P1388" t="inlineStr">
        <is>
          <t xml:space="preserve">4816148126696</t>
        </is>
      </c>
      <c r="Q1388" s="3" t="str">
        <f>HYPERLINK("https://modify.by/img/77298354/1.webp","фото")</f>
        <v>фото</v>
      </c>
      <c r="R1388" s="3" t="str">
        <f>HYPERLINK("https://modify.by/catalog/shorty/77298354/?utm_source=price&amp;utm_medium=xlsx","открыть")</f>
        <v>открыть</v>
      </c>
    </row>
    <row r="1389">
      <c r="A1389" t="inlineStr">
        <is>
          <t xml:space="preserve">Мужской</t>
        </is>
      </c>
      <c r="B1389" t="inlineStr">
        <is>
          <t xml:space="preserve">Шорты</t>
        </is>
      </c>
      <c r="C1389" t="inlineStr">
        <is>
          <t xml:space="preserve">Шорты, темно-синий</t>
        </is>
      </c>
      <c r="D1389" t="inlineStr">
        <is>
          <t xml:space="preserve">BS12M03*Темно-синий</t>
        </is>
      </c>
      <c r="E1389" t="inlineStr">
        <is>
          <t xml:space="preserve">темно-синий</t>
        </is>
      </c>
      <c r="F1389" t="inlineStr">
        <is>
          <t xml:space="preserve">50-52</t>
        </is>
      </c>
      <c r="G1389">
        <v>31</v>
      </c>
      <c r="H1389" s="2">
        <v>17.0</v>
      </c>
      <c r="I1389" t="inlineStr">
        <is>
          <t xml:space="preserve">полиэстер 100%</t>
        </is>
      </c>
      <c r="J1389"/>
      <c r="K1389" t="inlineStr">
        <is>
          <t xml:space="preserve">Бангладеш</t>
        </is>
      </c>
      <c r="L1389" t="inlineStr">
        <is>
          <t xml:space="preserve">6204639000</t>
        </is>
      </c>
      <c r="M1389" t="inlineStr">
        <is>
          <t xml:space="preserve">по запросу</t>
        </is>
      </c>
      <c r="N1389" t="inlineStr">
        <is>
          <t xml:space="preserve">32 × 30 × 3</t>
        </is>
      </c>
      <c r="O1389" t="inlineStr">
        <is>
          <t xml:space="preserve">0,2</t>
        </is>
      </c>
      <c r="P1389" t="inlineStr">
        <is>
          <t xml:space="preserve">8595633708512</t>
        </is>
      </c>
      <c r="Q1389" s="3" t="str">
        <f>HYPERLINK("https://modify.by/img/77298354/1.webp","фото")</f>
        <v>фото</v>
      </c>
      <c r="R1389" s="3" t="str">
        <f>HYPERLINK("https://modify.by/catalog/shorty/77298354/?utm_source=price&amp;utm_medium=xlsx","открыть")</f>
        <v>открыть</v>
      </c>
    </row>
    <row r="1390">
      <c r="A1390" t="inlineStr">
        <is>
          <t xml:space="preserve">Мужской</t>
        </is>
      </c>
      <c r="B1390" t="inlineStr">
        <is>
          <t xml:space="preserve">Шорты</t>
        </is>
      </c>
      <c r="C1390" t="inlineStr">
        <is>
          <t xml:space="preserve">Шорты, темно-синий</t>
        </is>
      </c>
      <c r="D1390" t="inlineStr">
        <is>
          <t xml:space="preserve">BS12M03*Темно-синий</t>
        </is>
      </c>
      <c r="E1390" t="inlineStr">
        <is>
          <t xml:space="preserve">темно-синий</t>
        </is>
      </c>
      <c r="F1390" t="inlineStr">
        <is>
          <t xml:space="preserve">52-54</t>
        </is>
      </c>
      <c r="G1390">
        <v>1</v>
      </c>
      <c r="H1390" s="2">
        <v>17.0</v>
      </c>
      <c r="I1390" t="inlineStr">
        <is>
          <t xml:space="preserve">полиэстер 100%</t>
        </is>
      </c>
      <c r="J1390"/>
      <c r="K1390" t="inlineStr">
        <is>
          <t xml:space="preserve">Бангладеш</t>
        </is>
      </c>
      <c r="L1390" t="inlineStr">
        <is>
          <t xml:space="preserve">6204639000</t>
        </is>
      </c>
      <c r="M1390" t="inlineStr">
        <is>
          <t xml:space="preserve">по запросу</t>
        </is>
      </c>
      <c r="N1390" t="inlineStr">
        <is>
          <t xml:space="preserve">32 × 30 × 3</t>
        </is>
      </c>
      <c r="O1390" t="inlineStr">
        <is>
          <t xml:space="preserve">0,2</t>
        </is>
      </c>
      <c r="P1390" t="inlineStr">
        <is>
          <t xml:space="preserve">4816148126702</t>
        </is>
      </c>
      <c r="Q1390" s="3" t="str">
        <f>HYPERLINK("https://modify.by/img/77298354/1.webp","фото")</f>
        <v>фото</v>
      </c>
      <c r="R1390" s="3" t="str">
        <f>HYPERLINK("https://modify.by/catalog/shorty/77298354/?utm_source=price&amp;utm_medium=xlsx","открыть")</f>
        <v>открыть</v>
      </c>
    </row>
    <row r="1391">
      <c r="A1391" t="inlineStr">
        <is>
          <t xml:space="preserve">Мужской</t>
        </is>
      </c>
      <c r="B1391" t="inlineStr">
        <is>
          <t xml:space="preserve">Шорты</t>
        </is>
      </c>
      <c r="C1391" t="inlineStr">
        <is>
          <t xml:space="preserve">Шорты, темно-синий</t>
        </is>
      </c>
      <c r="D1391" t="inlineStr">
        <is>
          <t xml:space="preserve">BS12M03*Темно-синий</t>
        </is>
      </c>
      <c r="E1391" t="inlineStr">
        <is>
          <t xml:space="preserve">темно-синий</t>
        </is>
      </c>
      <c r="F1391" t="inlineStr">
        <is>
          <t xml:space="preserve">52-54</t>
        </is>
      </c>
      <c r="G1391">
        <v>1</v>
      </c>
      <c r="H1391" s="2">
        <v>17.0</v>
      </c>
      <c r="I1391" t="inlineStr">
        <is>
          <t xml:space="preserve">полиэстер 100%</t>
        </is>
      </c>
      <c r="J1391"/>
      <c r="K1391" t="inlineStr">
        <is>
          <t xml:space="preserve">Бангладеш</t>
        </is>
      </c>
      <c r="L1391" t="inlineStr">
        <is>
          <t xml:space="preserve">6204639000</t>
        </is>
      </c>
      <c r="M1391" t="inlineStr">
        <is>
          <t xml:space="preserve">по запросу</t>
        </is>
      </c>
      <c r="N1391" t="inlineStr">
        <is>
          <t xml:space="preserve">32 × 30 × 3</t>
        </is>
      </c>
      <c r="O1391" t="inlineStr">
        <is>
          <t xml:space="preserve">0,2</t>
        </is>
      </c>
      <c r="P1391" t="inlineStr">
        <is>
          <t xml:space="preserve">8595633708529</t>
        </is>
      </c>
      <c r="Q1391" s="3" t="str">
        <f>HYPERLINK("https://modify.by/img/77298354/1.webp","фото")</f>
        <v>фото</v>
      </c>
      <c r="R1391" s="3" t="str">
        <f>HYPERLINK("https://modify.by/catalog/shorty/77298354/?utm_source=price&amp;utm_medium=xlsx","открыть")</f>
        <v>открыть</v>
      </c>
    </row>
    <row r="1392">
      <c r="A1392" t="inlineStr">
        <is>
          <t xml:space="preserve">Мужской</t>
        </is>
      </c>
      <c r="B1392" t="inlineStr">
        <is>
          <t xml:space="preserve">Шорты</t>
        </is>
      </c>
      <c r="C1392" t="inlineStr">
        <is>
          <t xml:space="preserve">бермуды мужские летние нарядные</t>
        </is>
      </c>
      <c r="D1392" t="inlineStr">
        <is>
          <t xml:space="preserve">BE22M0Черный</t>
        </is>
      </c>
      <c r="E1392" t="inlineStr">
        <is>
          <t xml:space="preserve">черный</t>
        </is>
      </c>
      <c r="F1392" t="inlineStr">
        <is>
          <t xml:space="preserve">48</t>
        </is>
      </c>
      <c r="G1392">
        <v>1</v>
      </c>
      <c r="H1392" s="2">
        <v>27.0</v>
      </c>
      <c r="I1392" t="inlineStr">
        <is>
          <t xml:space="preserve">65%полиэстер 35%хлопок</t>
        </is>
      </c>
      <c r="J1392"/>
      <c r="K1392" t="inlineStr">
        <is>
          <t xml:space="preserve">Бангладеш</t>
        </is>
      </c>
      <c r="L1392" t="inlineStr">
        <is>
          <t xml:space="preserve">6204639000</t>
        </is>
      </c>
      <c r="M1392" t="inlineStr">
        <is>
          <t xml:space="preserve">по запросу</t>
        </is>
      </c>
      <c r="N1392"/>
      <c r="O1392"/>
      <c r="P1392" t="inlineStr">
        <is>
          <t xml:space="preserve">2016957071787</t>
        </is>
      </c>
      <c r="Q1392" s="3" t="str">
        <f>HYPERLINK("https://modify.by/img/91104769/1.webp","фото")</f>
        <v>фото</v>
      </c>
      <c r="R1392" s="3" t="str">
        <f>HYPERLINK("https://modify.by/catalog/shorty/91104769/?utm_source=price&amp;utm_medium=xlsx","открыть")</f>
        <v>открыть</v>
      </c>
    </row>
    <row r="1393">
      <c r="A1393" t="inlineStr">
        <is>
          <t xml:space="preserve">Мужской</t>
        </is>
      </c>
      <c r="B1393" t="inlineStr">
        <is>
          <t xml:space="preserve">Шорты</t>
        </is>
      </c>
      <c r="C1393" t="inlineStr">
        <is>
          <t xml:space="preserve">бермуды шорты летние хлопок</t>
        </is>
      </c>
      <c r="D1393" t="inlineStr">
        <is>
          <t xml:space="preserve">BE22M06Ярко-зеленый</t>
        </is>
      </c>
      <c r="E1393" t="inlineStr">
        <is>
          <t xml:space="preserve">ярко-зеленый</t>
        </is>
      </c>
      <c r="F1393" t="inlineStr">
        <is>
          <t xml:space="preserve">40</t>
        </is>
      </c>
      <c r="G1393">
        <v>1</v>
      </c>
      <c r="H1393" s="2">
        <v>28.0</v>
      </c>
      <c r="I1393" t="inlineStr">
        <is>
          <t xml:space="preserve">Хлопок 98% эластан 2%</t>
        </is>
      </c>
      <c r="J1393"/>
      <c r="K1393" t="inlineStr">
        <is>
          <t xml:space="preserve">Бангладеш</t>
        </is>
      </c>
      <c r="L1393" t="inlineStr">
        <is>
          <t xml:space="preserve">6203429000</t>
        </is>
      </c>
      <c r="M1393" t="inlineStr">
        <is>
          <t xml:space="preserve">по запросу</t>
        </is>
      </c>
      <c r="N1393" t="inlineStr">
        <is>
          <t xml:space="preserve">2 × 30 × 35</t>
        </is>
      </c>
      <c r="O1393" t="inlineStr">
        <is>
          <t xml:space="preserve">0,35</t>
        </is>
      </c>
      <c r="P1393" t="inlineStr">
        <is>
          <t xml:space="preserve">2016957071213</t>
        </is>
      </c>
      <c r="Q1393" s="3" t="str">
        <f>HYPERLINK("https://modify.by/img/91867548/1.webp","фото")</f>
        <v>фото</v>
      </c>
      <c r="R1393" s="3" t="str">
        <f>HYPERLINK("https://modify.by/catalog/shorty/91867548/?utm_source=price&amp;utm_medium=xlsx","открыть")</f>
        <v>открыть</v>
      </c>
    </row>
    <row r="1394">
      <c r="A1394" t="inlineStr">
        <is>
          <t xml:space="preserve">Мужской</t>
        </is>
      </c>
      <c r="B1394" t="inlineStr">
        <is>
          <t xml:space="preserve">Шорты</t>
        </is>
      </c>
      <c r="C1394" t="inlineStr">
        <is>
          <t xml:space="preserve">шорты бермуды классические элегантные</t>
        </is>
      </c>
      <c r="D1394" t="inlineStr">
        <is>
          <t xml:space="preserve">BE32M06Темно-синий</t>
        </is>
      </c>
      <c r="E1394" t="inlineStr">
        <is>
          <t xml:space="preserve">темно-синий</t>
        </is>
      </c>
      <c r="F1394" t="inlineStr">
        <is>
          <t xml:space="preserve">58</t>
        </is>
      </c>
      <c r="G1394">
        <v>1</v>
      </c>
      <c r="H1394" s="2">
        <v>49.0</v>
      </c>
      <c r="I1394" t="inlineStr">
        <is>
          <t xml:space="preserve">98% хлопок, 2% эластан</t>
        </is>
      </c>
      <c r="J1394"/>
      <c r="K1394" t="inlineStr">
        <is>
          <t xml:space="preserve">Бангладеш</t>
        </is>
      </c>
      <c r="L1394" t="inlineStr">
        <is>
          <t xml:space="preserve">6203429000</t>
        </is>
      </c>
      <c r="M1394" t="inlineStr">
        <is>
          <t xml:space="preserve">по запросу</t>
        </is>
      </c>
      <c r="N1394" t="inlineStr">
        <is>
          <t xml:space="preserve">37 × 31 × 3</t>
        </is>
      </c>
      <c r="O1394" t="inlineStr">
        <is>
          <t xml:space="preserve">0,35</t>
        </is>
      </c>
      <c r="P1394" t="inlineStr">
        <is>
          <t xml:space="preserve">2026620778127</t>
        </is>
      </c>
      <c r="Q1394" s="3" t="str">
        <f>HYPERLINK("https://modify.by/img/152499167/1.webp","фото")</f>
        <v>фото</v>
      </c>
      <c r="R1394" s="3" t="str">
        <f>HYPERLINK("https://modify.by/catalog/shorty/152499167/?utm_source=price&amp;utm_medium=xlsx","открыть")</f>
        <v>открыть</v>
      </c>
    </row>
    <row r="1395">
      <c r="A1395" t="inlineStr">
        <is>
          <t xml:space="preserve">Мужской</t>
        </is>
      </c>
      <c r="B1395" t="inlineStr">
        <is>
          <t xml:space="preserve">Шорты</t>
        </is>
      </c>
      <c r="C1395" t="inlineStr">
        <is>
          <t xml:space="preserve">шорты джинсовые с карманами больших размеров</t>
        </is>
      </c>
      <c r="D1395" t="inlineStr">
        <is>
          <t xml:space="preserve">BE32M14Синий</t>
        </is>
      </c>
      <c r="E1395" t="inlineStr">
        <is>
          <t xml:space="preserve">темно-синий джинсовый, синий, темно-синий</t>
        </is>
      </c>
      <c r="F1395" t="inlineStr">
        <is>
          <t xml:space="preserve">48</t>
        </is>
      </c>
      <c r="G1395">
        <v>4</v>
      </c>
      <c r="H1395" s="2">
        <v>44.0</v>
      </c>
      <c r="I1395" t="inlineStr">
        <is>
          <t xml:space="preserve">хлопок 100%</t>
        </is>
      </c>
      <c r="J1395" t="inlineStr">
        <is>
          <t xml:space="preserve">Лето</t>
        </is>
      </c>
      <c r="K1395" t="inlineStr">
        <is>
          <t xml:space="preserve">Бангладеш</t>
        </is>
      </c>
      <c r="L1395" t="inlineStr">
        <is>
          <t xml:space="preserve">6203429000</t>
        </is>
      </c>
      <c r="M1395" t="inlineStr">
        <is>
          <t xml:space="preserve">Декларация № ЕАЭС № BY/112 11.01. ТР017 122.01 08246, до 19.04.2028</t>
        </is>
      </c>
      <c r="N1395" t="inlineStr">
        <is>
          <t xml:space="preserve">28 × 37 × 2</t>
        </is>
      </c>
      <c r="O1395" t="inlineStr">
        <is>
          <t xml:space="preserve">0,35</t>
        </is>
      </c>
      <c r="P1395" t="inlineStr">
        <is>
          <t xml:space="preserve">2038096162515</t>
        </is>
      </c>
      <c r="Q1395" s="3" t="str">
        <f>HYPERLINK("https://modify.by/img/171793687/1.webp","фото")</f>
        <v>фото</v>
      </c>
      <c r="R1395" s="3" t="str">
        <f>HYPERLINK("https://modify.by/catalog/shorty/171793687/?utm_source=price&amp;utm_medium=xlsx","открыть")</f>
        <v>открыть</v>
      </c>
    </row>
    <row r="1396">
      <c r="A1396" t="inlineStr">
        <is>
          <t xml:space="preserve">Мужской</t>
        </is>
      </c>
      <c r="B1396" t="inlineStr">
        <is>
          <t xml:space="preserve">Шорты</t>
        </is>
      </c>
      <c r="C1396" t="inlineStr">
        <is>
          <t xml:space="preserve">шорты джинсовые с карманами больших размеров</t>
        </is>
      </c>
      <c r="D1396" t="inlineStr">
        <is>
          <t xml:space="preserve">BE32M14Синий</t>
        </is>
      </c>
      <c r="E1396" t="inlineStr">
        <is>
          <t xml:space="preserve">темно-синий джинсовый, синий, темно-синий</t>
        </is>
      </c>
      <c r="F1396" t="inlineStr">
        <is>
          <t xml:space="preserve">48</t>
        </is>
      </c>
      <c r="G1396">
        <v>4</v>
      </c>
      <c r="H1396" s="2">
        <v>44.0</v>
      </c>
      <c r="I1396" t="inlineStr">
        <is>
          <t xml:space="preserve">хлопок 100%</t>
        </is>
      </c>
      <c r="J1396" t="inlineStr">
        <is>
          <t xml:space="preserve">Лето</t>
        </is>
      </c>
      <c r="K1396" t="inlineStr">
        <is>
          <t xml:space="preserve">Бангладеш</t>
        </is>
      </c>
      <c r="L1396" t="inlineStr">
        <is>
          <t xml:space="preserve">6203429000</t>
        </is>
      </c>
      <c r="M1396" t="inlineStr">
        <is>
          <t xml:space="preserve">Декларация № ЕАЭС № BY/112 11.01. ТР017 122.01 08246, до 19.04.2028</t>
        </is>
      </c>
      <c r="N1396" t="inlineStr">
        <is>
          <t xml:space="preserve">28 × 37 × 2</t>
        </is>
      </c>
      <c r="O1396" t="inlineStr">
        <is>
          <t xml:space="preserve">0,35</t>
        </is>
      </c>
      <c r="P1396" t="inlineStr">
        <is>
          <t xml:space="preserve">4816148108524</t>
        </is>
      </c>
      <c r="Q1396" s="3" t="str">
        <f>HYPERLINK("https://modify.by/img/171793687/1.webp","фото")</f>
        <v>фото</v>
      </c>
      <c r="R1396" s="3" t="str">
        <f>HYPERLINK("https://modify.by/catalog/shorty/171793687/?utm_source=price&amp;utm_medium=xlsx","открыть")</f>
        <v>открыть</v>
      </c>
    </row>
    <row r="1397">
      <c r="A1397" t="inlineStr">
        <is>
          <t xml:space="preserve">Мужской</t>
        </is>
      </c>
      <c r="B1397" t="inlineStr">
        <is>
          <t xml:space="preserve">Шорты</t>
        </is>
      </c>
      <c r="C1397" t="inlineStr">
        <is>
          <t xml:space="preserve">шорты джинсовые с карманами больших размеров</t>
        </is>
      </c>
      <c r="D1397" t="inlineStr">
        <is>
          <t xml:space="preserve">BE32M14Синий</t>
        </is>
      </c>
      <c r="E1397" t="inlineStr">
        <is>
          <t xml:space="preserve">темно-синий джинсовый, синий, темно-синий</t>
        </is>
      </c>
      <c r="F1397" t="inlineStr">
        <is>
          <t xml:space="preserve">50</t>
        </is>
      </c>
      <c r="G1397">
        <v>8</v>
      </c>
      <c r="H1397" s="2">
        <v>44.0</v>
      </c>
      <c r="I1397" t="inlineStr">
        <is>
          <t xml:space="preserve">хлопок 100%</t>
        </is>
      </c>
      <c r="J1397" t="inlineStr">
        <is>
          <t xml:space="preserve">Лето</t>
        </is>
      </c>
      <c r="K1397" t="inlineStr">
        <is>
          <t xml:space="preserve">Бангладеш</t>
        </is>
      </c>
      <c r="L1397" t="inlineStr">
        <is>
          <t xml:space="preserve">6203429000</t>
        </is>
      </c>
      <c r="M1397" t="inlineStr">
        <is>
          <t xml:space="preserve">Декларация № ЕАЭС № BY/112 11.01. ТР017 122.01 08246, до 19.04.2028</t>
        </is>
      </c>
      <c r="N1397" t="inlineStr">
        <is>
          <t xml:space="preserve">28 × 37 × 2</t>
        </is>
      </c>
      <c r="O1397" t="inlineStr">
        <is>
          <t xml:space="preserve">0,35</t>
        </is>
      </c>
      <c r="P1397" t="inlineStr">
        <is>
          <t xml:space="preserve">2038096162522</t>
        </is>
      </c>
      <c r="Q1397" s="3" t="str">
        <f>HYPERLINK("https://modify.by/img/171793687/1.webp","фото")</f>
        <v>фото</v>
      </c>
      <c r="R1397" s="3" t="str">
        <f>HYPERLINK("https://modify.by/catalog/shorty/171793687/?utm_source=price&amp;utm_medium=xlsx","открыть")</f>
        <v>открыть</v>
      </c>
    </row>
    <row r="1398">
      <c r="A1398" t="inlineStr">
        <is>
          <t xml:space="preserve">Мужской</t>
        </is>
      </c>
      <c r="B1398" t="inlineStr">
        <is>
          <t xml:space="preserve">Шорты</t>
        </is>
      </c>
      <c r="C1398" t="inlineStr">
        <is>
          <t xml:space="preserve">шорты джинсовые с карманами больших размеров</t>
        </is>
      </c>
      <c r="D1398" t="inlineStr">
        <is>
          <t xml:space="preserve">BE32M14Синий</t>
        </is>
      </c>
      <c r="E1398" t="inlineStr">
        <is>
          <t xml:space="preserve">темно-синий джинсовый, синий, темно-синий</t>
        </is>
      </c>
      <c r="F1398" t="inlineStr">
        <is>
          <t xml:space="preserve">50</t>
        </is>
      </c>
      <c r="G1398">
        <v>8</v>
      </c>
      <c r="H1398" s="2">
        <v>44.0</v>
      </c>
      <c r="I1398" t="inlineStr">
        <is>
          <t xml:space="preserve">хлопок 100%</t>
        </is>
      </c>
      <c r="J1398" t="inlineStr">
        <is>
          <t xml:space="preserve">Лето</t>
        </is>
      </c>
      <c r="K1398" t="inlineStr">
        <is>
          <t xml:space="preserve">Бангладеш</t>
        </is>
      </c>
      <c r="L1398" t="inlineStr">
        <is>
          <t xml:space="preserve">6203429000</t>
        </is>
      </c>
      <c r="M1398" t="inlineStr">
        <is>
          <t xml:space="preserve">Декларация № ЕАЭС № BY/112 11.01. ТР017 122.01 08246, до 19.04.2028</t>
        </is>
      </c>
      <c r="N1398" t="inlineStr">
        <is>
          <t xml:space="preserve">28 × 37 × 2</t>
        </is>
      </c>
      <c r="O1398" t="inlineStr">
        <is>
          <t xml:space="preserve">0,35</t>
        </is>
      </c>
      <c r="P1398" t="inlineStr">
        <is>
          <t xml:space="preserve">4816148108531</t>
        </is>
      </c>
      <c r="Q1398" s="3" t="str">
        <f>HYPERLINK("https://modify.by/img/171793687/1.webp","фото")</f>
        <v>фото</v>
      </c>
      <c r="R1398" s="3" t="str">
        <f>HYPERLINK("https://modify.by/catalog/shorty/171793687/?utm_source=price&amp;utm_medium=xlsx","открыть")</f>
        <v>открыть</v>
      </c>
    </row>
    <row r="1399">
      <c r="A1399" t="inlineStr">
        <is>
          <t xml:space="preserve">Мужской</t>
        </is>
      </c>
      <c r="B1399" t="inlineStr">
        <is>
          <t xml:space="preserve">Шорты</t>
        </is>
      </c>
      <c r="C1399" t="inlineStr">
        <is>
          <t xml:space="preserve">шорты спортивные широкие для зала и физкультуры</t>
        </is>
      </c>
      <c r="D1399" t="inlineStr">
        <is>
          <t xml:space="preserve">BS12M07**Темно-синий</t>
        </is>
      </c>
      <c r="E1399" t="inlineStr">
        <is>
          <t xml:space="preserve">темно-синий</t>
        </is>
      </c>
      <c r="F1399" t="inlineStr">
        <is>
          <t xml:space="preserve">46</t>
        </is>
      </c>
      <c r="G1399">
        <v>58</v>
      </c>
      <c r="H1399" s="2">
        <v>18.0</v>
      </c>
      <c r="I1399" t="inlineStr">
        <is>
          <t xml:space="preserve">60% хлопок, 40% полиэстер</t>
        </is>
      </c>
      <c r="J1399"/>
      <c r="K1399" t="inlineStr">
        <is>
          <t xml:space="preserve">Бангладеш</t>
        </is>
      </c>
      <c r="L1399" t="inlineStr">
        <is>
          <t xml:space="preserve">6204639000</t>
        </is>
      </c>
      <c r="M1399" t="inlineStr">
        <is>
          <t xml:space="preserve">Декларация № ЕАЭС № BY/112 11.01. ТР017 122.01 08246, до 19.04.2028</t>
        </is>
      </c>
      <c r="N1399" t="inlineStr">
        <is>
          <t xml:space="preserve">33 × 29 × 2</t>
        </is>
      </c>
      <c r="O1399" t="inlineStr">
        <is>
          <t xml:space="preserve">0,25</t>
        </is>
      </c>
      <c r="P1399" t="inlineStr">
        <is>
          <t xml:space="preserve">4816148112880</t>
        </is>
      </c>
      <c r="Q1399" s="3" t="str">
        <f>HYPERLINK("https://modify.by/img/65467027/1.webp","фото")</f>
        <v>фото</v>
      </c>
      <c r="R1399" s="3" t="str">
        <f>HYPERLINK("https://modify.by/catalog/shorty/65467027/?utm_source=price&amp;utm_medium=xlsx","открыть")</f>
        <v>открыть</v>
      </c>
    </row>
    <row r="1400">
      <c r="A1400" t="inlineStr">
        <is>
          <t xml:space="preserve">Мужской</t>
        </is>
      </c>
      <c r="B1400" t="inlineStr">
        <is>
          <t xml:space="preserve">Шорты</t>
        </is>
      </c>
      <c r="C1400" t="inlineStr">
        <is>
          <t xml:space="preserve">шорты спортивные широкие для зала и физкультуры</t>
        </is>
      </c>
      <c r="D1400" t="inlineStr">
        <is>
          <t xml:space="preserve">BS12M07**Темно-синий</t>
        </is>
      </c>
      <c r="E1400" t="inlineStr">
        <is>
          <t xml:space="preserve">темно-синий</t>
        </is>
      </c>
      <c r="F1400" t="inlineStr">
        <is>
          <t xml:space="preserve">48</t>
        </is>
      </c>
      <c r="G1400">
        <v>150</v>
      </c>
      <c r="H1400" s="2">
        <v>18.0</v>
      </c>
      <c r="I1400" t="inlineStr">
        <is>
          <t xml:space="preserve">60% хлопок, 40% полиэстер</t>
        </is>
      </c>
      <c r="J1400"/>
      <c r="K1400" t="inlineStr">
        <is>
          <t xml:space="preserve">Бангладеш</t>
        </is>
      </c>
      <c r="L1400" t="inlineStr">
        <is>
          <t xml:space="preserve">6204639000</t>
        </is>
      </c>
      <c r="M1400" t="inlineStr">
        <is>
          <t xml:space="preserve">Декларация № ЕАЭС № BY/112 11.01. ТР017 122.01 08246, до 19.04.2028</t>
        </is>
      </c>
      <c r="N1400" t="inlineStr">
        <is>
          <t xml:space="preserve">33 × 29 × 2</t>
        </is>
      </c>
      <c r="O1400" t="inlineStr">
        <is>
          <t xml:space="preserve">0,25</t>
        </is>
      </c>
      <c r="P1400" t="inlineStr">
        <is>
          <t xml:space="preserve">4816148108005</t>
        </is>
      </c>
      <c r="Q1400" s="3" t="str">
        <f>HYPERLINK("https://modify.by/img/65467027/1.webp","фото")</f>
        <v>фото</v>
      </c>
      <c r="R1400" s="3" t="str">
        <f>HYPERLINK("https://modify.by/catalog/shorty/65467027/?utm_source=price&amp;utm_medium=xlsx","открыть")</f>
        <v>открыть</v>
      </c>
    </row>
    <row r="1401">
      <c r="A1401" t="inlineStr">
        <is>
          <t xml:space="preserve">Мужской</t>
        </is>
      </c>
      <c r="B1401" t="inlineStr">
        <is>
          <t xml:space="preserve">Шорты</t>
        </is>
      </c>
      <c r="C1401" t="inlineStr">
        <is>
          <t xml:space="preserve">шорты спортивные широкие для зала и физкультуры</t>
        </is>
      </c>
      <c r="D1401" t="inlineStr">
        <is>
          <t xml:space="preserve">BS12M07**Темно-синий</t>
        </is>
      </c>
      <c r="E1401" t="inlineStr">
        <is>
          <t xml:space="preserve">темно-синий</t>
        </is>
      </c>
      <c r="F1401" t="inlineStr">
        <is>
          <t xml:space="preserve">50</t>
        </is>
      </c>
      <c r="G1401">
        <v>42</v>
      </c>
      <c r="H1401" s="2">
        <v>18.0</v>
      </c>
      <c r="I1401" t="inlineStr">
        <is>
          <t xml:space="preserve">60% хлопок, 40% полиэстер</t>
        </is>
      </c>
      <c r="J1401"/>
      <c r="K1401" t="inlineStr">
        <is>
          <t xml:space="preserve">Бангладеш</t>
        </is>
      </c>
      <c r="L1401" t="inlineStr">
        <is>
          <t xml:space="preserve">6204639000</t>
        </is>
      </c>
      <c r="M1401" t="inlineStr">
        <is>
          <t xml:space="preserve">Декларация № ЕАЭС № BY/112 11.01. ТР017 122.01 08246, до 19.04.2028</t>
        </is>
      </c>
      <c r="N1401" t="inlineStr">
        <is>
          <t xml:space="preserve">33 × 29 × 2</t>
        </is>
      </c>
      <c r="O1401" t="inlineStr">
        <is>
          <t xml:space="preserve">0,25</t>
        </is>
      </c>
      <c r="P1401" t="inlineStr">
        <is>
          <t xml:space="preserve">4816148108012</t>
        </is>
      </c>
      <c r="Q1401" s="3" t="str">
        <f>HYPERLINK("https://modify.by/img/65467027/1.webp","фото")</f>
        <v>фото</v>
      </c>
      <c r="R1401" s="3" t="str">
        <f>HYPERLINK("https://modify.by/catalog/shorty/65467027/?utm_source=price&amp;utm_medium=xlsx","открыть")</f>
        <v>открыть</v>
      </c>
    </row>
    <row r="1402">
      <c r="A1402" t="inlineStr">
        <is>
          <t xml:space="preserve">Мужской</t>
        </is>
      </c>
      <c r="B1402" t="inlineStr">
        <is>
          <t xml:space="preserve">Шорты спортивные</t>
        </is>
      </c>
      <c r="C1402" t="inlineStr">
        <is>
          <t xml:space="preserve">Шорты для спорта и фитнеса, глубокий синий</t>
        </is>
      </c>
      <c r="D1402" t="inlineStr">
        <is>
          <t xml:space="preserve">T3BE52M01васильковый</t>
        </is>
      </c>
      <c r="E1402" t="inlineStr">
        <is>
          <t xml:space="preserve">глубокий синий, васильковый</t>
        </is>
      </c>
      <c r="F1402" t="inlineStr">
        <is>
          <t xml:space="preserve">52</t>
        </is>
      </c>
      <c r="G1402">
        <v>11</v>
      </c>
      <c r="H1402" s="2">
        <v>26.0</v>
      </c>
      <c r="I1402" t="inlineStr">
        <is>
          <t xml:space="preserve">100% полиэстер</t>
        </is>
      </c>
      <c r="J1402"/>
      <c r="K1402" t="inlineStr">
        <is>
          <t xml:space="preserve">Китай</t>
        </is>
      </c>
      <c r="L1402" t="inlineStr">
        <is>
          <t xml:space="preserve">6203439000</t>
        </is>
      </c>
      <c r="M1402" t="inlineStr">
        <is>
          <t xml:space="preserve">по запросу</t>
        </is>
      </c>
      <c r="N1402" t="inlineStr">
        <is>
          <t xml:space="preserve">30 × 22 × 3</t>
        </is>
      </c>
      <c r="O1402" t="inlineStr">
        <is>
          <t xml:space="preserve">0,25</t>
        </is>
      </c>
      <c r="P1402" t="inlineStr">
        <is>
          <t xml:space="preserve">4816148166777</t>
        </is>
      </c>
      <c r="Q1402" s="3" t="str">
        <f>HYPERLINK("https://modify.by/img/417936118/1.webp","фото")</f>
        <v>фото</v>
      </c>
      <c r="R1402" s="3" t="str">
        <f>HYPERLINK("https://modify.by/catalog/shorty-sportivnye/417936118/?utm_source=price&amp;utm_medium=xlsx","открыть")</f>
        <v>открыть</v>
      </c>
    </row>
    <row r="1403">
      <c r="A1403" t="inlineStr">
        <is>
          <t xml:space="preserve">Мужской</t>
        </is>
      </c>
      <c r="B1403" t="inlineStr">
        <is>
          <t xml:space="preserve">Шорты спортивные</t>
        </is>
      </c>
      <c r="C1403" t="inlineStr">
        <is>
          <t xml:space="preserve">Шорты для спорта и фитнеса, серый</t>
        </is>
      </c>
      <c r="D1403" t="inlineStr">
        <is>
          <t xml:space="preserve">T3BE52M01серо-зеленый</t>
        </is>
      </c>
      <c r="E1403" t="inlineStr">
        <is>
          <t xml:space="preserve">серый, зеленый, оливковый</t>
        </is>
      </c>
      <c r="F1403" t="inlineStr">
        <is>
          <t xml:space="preserve">48</t>
        </is>
      </c>
      <c r="G1403">
        <v>2</v>
      </c>
      <c r="H1403" s="2">
        <v>26.0</v>
      </c>
      <c r="I1403" t="inlineStr">
        <is>
          <t xml:space="preserve">100% полиэстер</t>
        </is>
      </c>
      <c r="J1403"/>
      <c r="K1403" t="inlineStr">
        <is>
          <t xml:space="preserve">Китай</t>
        </is>
      </c>
      <c r="L1403" t="inlineStr">
        <is>
          <t xml:space="preserve">6203439000</t>
        </is>
      </c>
      <c r="M1403" t="inlineStr">
        <is>
          <t xml:space="preserve">по запросу</t>
        </is>
      </c>
      <c r="N1403" t="inlineStr">
        <is>
          <t xml:space="preserve">30 × 22 × 3</t>
        </is>
      </c>
      <c r="O1403" t="inlineStr">
        <is>
          <t xml:space="preserve">0,25</t>
        </is>
      </c>
      <c r="P1403" t="inlineStr">
        <is>
          <t xml:space="preserve">4816148166715</t>
        </is>
      </c>
      <c r="Q1403" s="3" t="str">
        <f>HYPERLINK("https://modify.by/img/417935478/1.webp","фото")</f>
        <v>фото</v>
      </c>
      <c r="R1403" s="3" t="str">
        <f>HYPERLINK("https://modify.by/catalog/shorty-sportivnye/417935478/?utm_source=price&amp;utm_medium=xlsx","открыть")</f>
        <v>открыть</v>
      </c>
    </row>
    <row r="1404">
      <c r="A1404" t="inlineStr">
        <is>
          <t xml:space="preserve">Мужской</t>
        </is>
      </c>
      <c r="B1404" t="inlineStr">
        <is>
          <t xml:space="preserve">Шорты спортивные</t>
        </is>
      </c>
      <c r="C1404" t="inlineStr">
        <is>
          <t xml:space="preserve">Шорты для спорта и фитнеса, серый</t>
        </is>
      </c>
      <c r="D1404" t="inlineStr">
        <is>
          <t xml:space="preserve">T3BE52M01серо-зеленый</t>
        </is>
      </c>
      <c r="E1404" t="inlineStr">
        <is>
          <t xml:space="preserve">серый, зеленый, оливковый</t>
        </is>
      </c>
      <c r="F1404" t="inlineStr">
        <is>
          <t xml:space="preserve">50</t>
        </is>
      </c>
      <c r="G1404">
        <v>9</v>
      </c>
      <c r="H1404" s="2">
        <v>26.0</v>
      </c>
      <c r="I1404" t="inlineStr">
        <is>
          <t xml:space="preserve">100% полиэстер</t>
        </is>
      </c>
      <c r="J1404"/>
      <c r="K1404" t="inlineStr">
        <is>
          <t xml:space="preserve">Китай</t>
        </is>
      </c>
      <c r="L1404" t="inlineStr">
        <is>
          <t xml:space="preserve">6203439000</t>
        </is>
      </c>
      <c r="M1404" t="inlineStr">
        <is>
          <t xml:space="preserve">по запросу</t>
        </is>
      </c>
      <c r="N1404" t="inlineStr">
        <is>
          <t xml:space="preserve">30 × 22 × 3</t>
        </is>
      </c>
      <c r="O1404" t="inlineStr">
        <is>
          <t xml:space="preserve">0,25</t>
        </is>
      </c>
      <c r="P1404" t="inlineStr">
        <is>
          <t xml:space="preserve">4816148166722</t>
        </is>
      </c>
      <c r="Q1404" s="3" t="str">
        <f>HYPERLINK("https://modify.by/img/417935478/1.webp","фото")</f>
        <v>фото</v>
      </c>
      <c r="R1404" s="3" t="str">
        <f>HYPERLINK("https://modify.by/catalog/shorty-sportivnye/417935478/?utm_source=price&amp;utm_medium=xlsx","открыть")</f>
        <v>открыть</v>
      </c>
    </row>
    <row r="1405">
      <c r="A1405" t="inlineStr">
        <is>
          <t xml:space="preserve">Мужской</t>
        </is>
      </c>
      <c r="B1405" t="inlineStr">
        <is>
          <t xml:space="preserve">Шорты спортивные</t>
        </is>
      </c>
      <c r="C1405" t="inlineStr">
        <is>
          <t xml:space="preserve">Шорты для спорта и фитнеса, черный</t>
        </is>
      </c>
      <c r="D1405" t="inlineStr">
        <is>
          <t xml:space="preserve">T3BE52M01черный,белый</t>
        </is>
      </c>
      <c r="E1405" t="inlineStr">
        <is>
          <t xml:space="preserve">черный, белый</t>
        </is>
      </c>
      <c r="F1405" t="inlineStr">
        <is>
          <t xml:space="preserve">50</t>
        </is>
      </c>
      <c r="G1405">
        <v>8</v>
      </c>
      <c r="H1405" s="2">
        <v>26.0</v>
      </c>
      <c r="I1405" t="inlineStr">
        <is>
          <t xml:space="preserve">100% полиэстер</t>
        </is>
      </c>
      <c r="J1405"/>
      <c r="K1405" t="inlineStr">
        <is>
          <t xml:space="preserve">Китай</t>
        </is>
      </c>
      <c r="L1405" t="inlineStr">
        <is>
          <t xml:space="preserve">6203439000</t>
        </is>
      </c>
      <c r="M1405" t="inlineStr">
        <is>
          <t xml:space="preserve">по запросу</t>
        </is>
      </c>
      <c r="N1405" t="inlineStr">
        <is>
          <t xml:space="preserve">30 × 22 × 3</t>
        </is>
      </c>
      <c r="O1405" t="inlineStr">
        <is>
          <t xml:space="preserve">0,25</t>
        </is>
      </c>
      <c r="P1405" t="inlineStr">
        <is>
          <t xml:space="preserve">4816148166685</t>
        </is>
      </c>
      <c r="Q1405" s="3" t="str">
        <f>HYPERLINK("https://modify.by/img/417934498/1.webp","фото")</f>
        <v>фото</v>
      </c>
      <c r="R1405" s="3" t="str">
        <f>HYPERLINK("https://modify.by/catalog/shorty-sportivnye/417934498/?utm_source=price&amp;utm_medium=xlsx","открыть")</f>
        <v>открыть</v>
      </c>
    </row>
    <row r="1406">
      <c r="A1406" t="inlineStr">
        <is>
          <t xml:space="preserve">Мужской</t>
        </is>
      </c>
      <c r="B1406" t="inlineStr">
        <is>
          <t xml:space="preserve">Шорты спортивные</t>
        </is>
      </c>
      <c r="C1406" t="inlineStr">
        <is>
          <t xml:space="preserve">Шорты для спорта и фитнеса, черный</t>
        </is>
      </c>
      <c r="D1406" t="inlineStr">
        <is>
          <t xml:space="preserve">T3BE52M01черный,белый</t>
        </is>
      </c>
      <c r="E1406" t="inlineStr">
        <is>
          <t xml:space="preserve">черный, белый</t>
        </is>
      </c>
      <c r="F1406" t="inlineStr">
        <is>
          <t xml:space="preserve">52</t>
        </is>
      </c>
      <c r="G1406">
        <v>5</v>
      </c>
      <c r="H1406" s="2">
        <v>26.0</v>
      </c>
      <c r="I1406" t="inlineStr">
        <is>
          <t xml:space="preserve">100% полиэстер</t>
        </is>
      </c>
      <c r="J1406"/>
      <c r="K1406" t="inlineStr">
        <is>
          <t xml:space="preserve">Китай</t>
        </is>
      </c>
      <c r="L1406" t="inlineStr">
        <is>
          <t xml:space="preserve">6203439000</t>
        </is>
      </c>
      <c r="M1406" t="inlineStr">
        <is>
          <t xml:space="preserve">по запросу</t>
        </is>
      </c>
      <c r="N1406" t="inlineStr">
        <is>
          <t xml:space="preserve">30 × 22 × 3</t>
        </is>
      </c>
      <c r="O1406" t="inlineStr">
        <is>
          <t xml:space="preserve">0,25</t>
        </is>
      </c>
      <c r="P1406" t="inlineStr">
        <is>
          <t xml:space="preserve">4816148166692</t>
        </is>
      </c>
      <c r="Q1406" s="3" t="str">
        <f>HYPERLINK("https://modify.by/img/417934498/1.webp","фото")</f>
        <v>фото</v>
      </c>
      <c r="R1406" s="3" t="str">
        <f>HYPERLINK("https://modify.by/catalog/shorty-sportivnye/417934498/?utm_source=price&amp;utm_medium=xlsx","открыть")</f>
        <v>открыть</v>
      </c>
    </row>
    <row r="1407">
      <c r="A1407" t="inlineStr">
        <is>
          <t xml:space="preserve">Мужской</t>
        </is>
      </c>
      <c r="B1407" t="inlineStr">
        <is>
          <t xml:space="preserve">Шорты спортивные</t>
        </is>
      </c>
      <c r="C1407" t="inlineStr">
        <is>
          <t xml:space="preserve">Шорты спортивные 2 в 1 с компрессионными тайтсами, темно-серый</t>
        </is>
      </c>
      <c r="D1407" t="inlineStr">
        <is>
          <t xml:space="preserve">T3BE52M01темно-серый</t>
        </is>
      </c>
      <c r="E1407" t="inlineStr">
        <is>
          <t xml:space="preserve">темно-серый</t>
        </is>
      </c>
      <c r="F1407" t="inlineStr">
        <is>
          <t xml:space="preserve">50</t>
        </is>
      </c>
      <c r="G1407">
        <v>3</v>
      </c>
      <c r="H1407" s="2">
        <v>26.0</v>
      </c>
      <c r="I1407" t="inlineStr">
        <is>
          <t xml:space="preserve">100% полиэстер</t>
        </is>
      </c>
      <c r="J1407"/>
      <c r="K1407" t="inlineStr">
        <is>
          <t xml:space="preserve">Китай</t>
        </is>
      </c>
      <c r="L1407" t="inlineStr">
        <is>
          <t xml:space="preserve">6203439000</t>
        </is>
      </c>
      <c r="M1407" t="inlineStr">
        <is>
          <t xml:space="preserve">по запросу</t>
        </is>
      </c>
      <c r="N1407" t="inlineStr">
        <is>
          <t xml:space="preserve">30 × 22 × 3</t>
        </is>
      </c>
      <c r="O1407" t="inlineStr">
        <is>
          <t xml:space="preserve">0,25</t>
        </is>
      </c>
      <c r="P1407" t="inlineStr">
        <is>
          <t xml:space="preserve">4816148166845</t>
        </is>
      </c>
      <c r="Q1407" s="3" t="str">
        <f>HYPERLINK("https://modify.by/img/418412352/1.webp","фото")</f>
        <v>фото</v>
      </c>
      <c r="R1407" s="3" t="str">
        <f>HYPERLINK("https://modify.by/catalog/shorty-sportivnye/418412352/?utm_source=price&amp;utm_medium=xlsx","открыть")</f>
        <v>открыть</v>
      </c>
    </row>
    <row r="1408">
      <c r="A1408" t="inlineStr">
        <is>
          <t xml:space="preserve">Мужской</t>
        </is>
      </c>
      <c r="B1408" t="inlineStr">
        <is>
          <t xml:space="preserve">Шорты спортивные</t>
        </is>
      </c>
      <c r="C1408" t="inlineStr">
        <is>
          <t xml:space="preserve">Шорты спортивные 2 в 1 с компрессионными тайтсами, темно-серый</t>
        </is>
      </c>
      <c r="D1408" t="inlineStr">
        <is>
          <t xml:space="preserve">T3BE52M01темно-серый</t>
        </is>
      </c>
      <c r="E1408" t="inlineStr">
        <is>
          <t xml:space="preserve">темно-серый</t>
        </is>
      </c>
      <c r="F1408" t="inlineStr">
        <is>
          <t xml:space="preserve">52</t>
        </is>
      </c>
      <c r="G1408">
        <v>3</v>
      </c>
      <c r="H1408" s="2">
        <v>26.0</v>
      </c>
      <c r="I1408" t="inlineStr">
        <is>
          <t xml:space="preserve">100% полиэстер</t>
        </is>
      </c>
      <c r="J1408"/>
      <c r="K1408" t="inlineStr">
        <is>
          <t xml:space="preserve">Китай</t>
        </is>
      </c>
      <c r="L1408" t="inlineStr">
        <is>
          <t xml:space="preserve">6203439000</t>
        </is>
      </c>
      <c r="M1408" t="inlineStr">
        <is>
          <t xml:space="preserve">по запросу</t>
        </is>
      </c>
      <c r="N1408" t="inlineStr">
        <is>
          <t xml:space="preserve">30 × 22 × 3</t>
        </is>
      </c>
      <c r="O1408" t="inlineStr">
        <is>
          <t xml:space="preserve">0,25</t>
        </is>
      </c>
      <c r="P1408" t="inlineStr">
        <is>
          <t xml:space="preserve">4816148166852</t>
        </is>
      </c>
      <c r="Q1408" s="3" t="str">
        <f>HYPERLINK("https://modify.by/img/418412352/1.webp","фото")</f>
        <v>фото</v>
      </c>
      <c r="R1408" s="3" t="str">
        <f>HYPERLINK("https://modify.by/catalog/shorty-sportivnye/418412352/?utm_source=price&amp;utm_medium=xlsx","открыть")</f>
        <v>открыть</v>
      </c>
    </row>
    <row r="1409">
      <c r="A1409" t="inlineStr">
        <is>
          <t xml:space="preserve">Мужской</t>
        </is>
      </c>
      <c r="B1409" t="inlineStr">
        <is>
          <t xml:space="preserve">Шорты спортивные</t>
        </is>
      </c>
      <c r="C1409" t="inlineStr">
        <is>
          <t xml:space="preserve">Шорты спортивные 2 в 1 с компрессионными тайтсами, темно-синий</t>
        </is>
      </c>
      <c r="D1409" t="inlineStr">
        <is>
          <t xml:space="preserve">T3BE52M01темно-синий</t>
        </is>
      </c>
      <c r="E1409" t="inlineStr">
        <is>
          <t xml:space="preserve">темно-синий, черный</t>
        </is>
      </c>
      <c r="F1409" t="inlineStr">
        <is>
          <t xml:space="preserve">50</t>
        </is>
      </c>
      <c r="G1409">
        <v>4</v>
      </c>
      <c r="H1409" s="2">
        <v>26.0</v>
      </c>
      <c r="I1409" t="inlineStr">
        <is>
          <t xml:space="preserve">100% полиэстер</t>
        </is>
      </c>
      <c r="J1409"/>
      <c r="K1409" t="inlineStr">
        <is>
          <t xml:space="preserve">Китай</t>
        </is>
      </c>
      <c r="L1409" t="inlineStr">
        <is>
          <t xml:space="preserve">6203439000</t>
        </is>
      </c>
      <c r="M1409" t="inlineStr">
        <is>
          <t xml:space="preserve">по запросу</t>
        </is>
      </c>
      <c r="N1409" t="inlineStr">
        <is>
          <t xml:space="preserve">30 × 22 × 3</t>
        </is>
      </c>
      <c r="O1409" t="inlineStr">
        <is>
          <t xml:space="preserve">0,25</t>
        </is>
      </c>
      <c r="P1409" t="inlineStr">
        <is>
          <t xml:space="preserve">4816148166807</t>
        </is>
      </c>
      <c r="Q1409" s="3" t="str">
        <f>HYPERLINK("https://modify.by/img/417936773/1.webp","фото")</f>
        <v>фото</v>
      </c>
      <c r="R1409" s="3" t="str">
        <f>HYPERLINK("https://modify.by/catalog/shorty-sportivnye/417936773/?utm_source=price&amp;utm_medium=xlsx","открыть")</f>
        <v>открыть</v>
      </c>
    </row>
    <row r="1410">
      <c r="A1410" t="inlineStr">
        <is>
          <t xml:space="preserve">Мужской</t>
        </is>
      </c>
      <c r="B1410" t="inlineStr">
        <is>
          <t xml:space="preserve">Шорты спортивные</t>
        </is>
      </c>
      <c r="C1410" t="inlineStr">
        <is>
          <t xml:space="preserve">Шорты спортивные 2 в 1 с компрессионными тайтсами, черный</t>
        </is>
      </c>
      <c r="D1410" t="inlineStr">
        <is>
          <t xml:space="preserve">T3BE52M01черный,черный</t>
        </is>
      </c>
      <c r="E1410" t="inlineStr">
        <is>
          <t xml:space="preserve">черный</t>
        </is>
      </c>
      <c r="F1410" t="inlineStr">
        <is>
          <t xml:space="preserve">48</t>
        </is>
      </c>
      <c r="G1410">
        <v>1</v>
      </c>
      <c r="H1410" s="2">
        <v>26.0</v>
      </c>
      <c r="I1410" t="inlineStr">
        <is>
          <t xml:space="preserve">100% полиэстер</t>
        </is>
      </c>
      <c r="J1410"/>
      <c r="K1410" t="inlineStr">
        <is>
          <t xml:space="preserve">Китай</t>
        </is>
      </c>
      <c r="L1410" t="inlineStr">
        <is>
          <t xml:space="preserve">6203439000</t>
        </is>
      </c>
      <c r="M1410" t="inlineStr">
        <is>
          <t xml:space="preserve">Декларация № ЕАЭС N RU Д-CN.РА02.В.44039/24, до 28.02.2029</t>
        </is>
      </c>
      <c r="N1410" t="inlineStr">
        <is>
          <t xml:space="preserve">30 × 22 × 3</t>
        </is>
      </c>
      <c r="O1410" t="inlineStr">
        <is>
          <t xml:space="preserve">0,25</t>
        </is>
      </c>
      <c r="P1410" t="inlineStr">
        <is>
          <t xml:space="preserve">4816148166876</t>
        </is>
      </c>
      <c r="Q1410" s="3" t="str">
        <f>HYPERLINK("https://modify.by/img/418412838/1.webp","фото")</f>
        <v>фото</v>
      </c>
      <c r="R1410" s="3" t="str">
        <f>HYPERLINK("https://modify.by/catalog/shorty-sportivnye/418412838/?utm_source=price&amp;utm_medium=xlsx","открыть")</f>
        <v>открыть</v>
      </c>
    </row>
    <row r="1411">
      <c r="A1411" t="inlineStr">
        <is>
          <t xml:space="preserve">Мужской</t>
        </is>
      </c>
      <c r="B1411" t="inlineStr">
        <is>
          <t xml:space="preserve">Шорты спортивные</t>
        </is>
      </c>
      <c r="C1411" t="inlineStr">
        <is>
          <t xml:space="preserve">Шорты спортивные 2 в 1 с компрессионными тайтсами, черный</t>
        </is>
      </c>
      <c r="D1411" t="inlineStr">
        <is>
          <t xml:space="preserve">T3BE52M01черный,черный</t>
        </is>
      </c>
      <c r="E1411" t="inlineStr">
        <is>
          <t xml:space="preserve">черный</t>
        </is>
      </c>
      <c r="F1411" t="inlineStr">
        <is>
          <t xml:space="preserve">50</t>
        </is>
      </c>
      <c r="G1411">
        <v>6</v>
      </c>
      <c r="H1411" s="2">
        <v>26.0</v>
      </c>
      <c r="I1411" t="inlineStr">
        <is>
          <t xml:space="preserve">100% полиэстер</t>
        </is>
      </c>
      <c r="J1411"/>
      <c r="K1411" t="inlineStr">
        <is>
          <t xml:space="preserve">Китай</t>
        </is>
      </c>
      <c r="L1411" t="inlineStr">
        <is>
          <t xml:space="preserve">6203439000</t>
        </is>
      </c>
      <c r="M1411" t="inlineStr">
        <is>
          <t xml:space="preserve">Декларация № ЕАЭС N RU Д-CN.РА02.В.44039/24, до 28.02.2029</t>
        </is>
      </c>
      <c r="N1411" t="inlineStr">
        <is>
          <t xml:space="preserve">30 × 22 × 3</t>
        </is>
      </c>
      <c r="O1411" t="inlineStr">
        <is>
          <t xml:space="preserve">0,25</t>
        </is>
      </c>
      <c r="P1411" t="inlineStr">
        <is>
          <t xml:space="preserve">4816148166883</t>
        </is>
      </c>
      <c r="Q1411" s="3" t="str">
        <f>HYPERLINK("https://modify.by/img/418412838/1.webp","фото")</f>
        <v>фото</v>
      </c>
      <c r="R1411" s="3" t="str">
        <f>HYPERLINK("https://modify.by/catalog/shorty-sportivnye/418412838/?utm_source=price&amp;utm_medium=xlsx","открыть")</f>
        <v>открыть</v>
      </c>
    </row>
    <row r="1412">
      <c r="A1412" t="inlineStr">
        <is>
          <t xml:space="preserve">Мужской</t>
        </is>
      </c>
      <c r="B1412" t="inlineStr">
        <is>
          <t xml:space="preserve">Шорты спортивные</t>
        </is>
      </c>
      <c r="C1412" t="inlineStr">
        <is>
          <t xml:space="preserve">Шорты спортивные 2 в 1 с компрессионными тайтсами, черный</t>
        </is>
      </c>
      <c r="D1412" t="inlineStr">
        <is>
          <t xml:space="preserve">T3BE52M01черный,черный</t>
        </is>
      </c>
      <c r="E1412" t="inlineStr">
        <is>
          <t xml:space="preserve">черный</t>
        </is>
      </c>
      <c r="F1412" t="inlineStr">
        <is>
          <t xml:space="preserve">52</t>
        </is>
      </c>
      <c r="G1412">
        <v>11</v>
      </c>
      <c r="H1412" s="2">
        <v>26.0</v>
      </c>
      <c r="I1412" t="inlineStr">
        <is>
          <t xml:space="preserve">100% полиэстер</t>
        </is>
      </c>
      <c r="J1412"/>
      <c r="K1412" t="inlineStr">
        <is>
          <t xml:space="preserve">Китай</t>
        </is>
      </c>
      <c r="L1412" t="inlineStr">
        <is>
          <t xml:space="preserve">6203439000</t>
        </is>
      </c>
      <c r="M1412" t="inlineStr">
        <is>
          <t xml:space="preserve">Декларация № ЕАЭС N RU Д-CN.РА02.В.44039/24, до 28.02.2029</t>
        </is>
      </c>
      <c r="N1412" t="inlineStr">
        <is>
          <t xml:space="preserve">30 × 22 × 3</t>
        </is>
      </c>
      <c r="O1412" t="inlineStr">
        <is>
          <t xml:space="preserve">0,25</t>
        </is>
      </c>
      <c r="P1412" t="inlineStr">
        <is>
          <t xml:space="preserve">4816148166890</t>
        </is>
      </c>
      <c r="Q1412" s="3" t="str">
        <f>HYPERLINK("https://modify.by/img/418412838/1.webp","фото")</f>
        <v>фото</v>
      </c>
      <c r="R1412" s="3" t="str">
        <f>HYPERLINK("https://modify.by/catalog/shorty-sportivnye/418412838/?utm_source=price&amp;utm_medium=xlsx","открыть")</f>
        <v>открыть</v>
      </c>
    </row>
    <row r="1413">
      <c r="A1413"/>
      <c r="B1413" t="inlineStr">
        <is>
          <t xml:space="preserve">Дорожки кухонные</t>
        </is>
      </c>
      <c r="C1413" t="inlineStr">
        <is>
          <t xml:space="preserve">Дорожка на стол ажурная вязаная скатерть раннер бохо, бежевый, арт. T3TС25_молочный_30*100</t>
        </is>
      </c>
      <c r="D1413" t="inlineStr">
        <is>
          <t xml:space="preserve">T3TС25_молочный_30*100</t>
        </is>
      </c>
      <c r="E1413" t="inlineStr">
        <is>
          <t xml:space="preserve">бежевый, молочный</t>
        </is>
      </c>
      <c r="F1413" t="inlineStr">
        <is>
          <t xml:space="preserve">0</t>
        </is>
      </c>
      <c r="G1413">
        <v>24</v>
      </c>
      <c r="H1413" s="2">
        <v>18.0</v>
      </c>
      <c r="I1413" t="inlineStr">
        <is>
          <t xml:space="preserve">100% хлопок</t>
        </is>
      </c>
      <c r="J1413"/>
      <c r="K1413" t="inlineStr">
        <is>
          <t xml:space="preserve">Китай</t>
        </is>
      </c>
      <c r="L1413" t="inlineStr">
        <is>
          <t xml:space="preserve">6302510009</t>
        </is>
      </c>
      <c r="M1413" t="inlineStr">
        <is>
          <t xml:space="preserve">Декларация № ЕАЭС N RU Д-CN.РА04.В.43957/24, до 19.05.2029</t>
        </is>
      </c>
      <c r="N1413" t="inlineStr">
        <is>
          <t xml:space="preserve">25 × 17 × 2</t>
        </is>
      </c>
      <c r="O1413" t="inlineStr">
        <is>
          <t xml:space="preserve">0,12</t>
        </is>
      </c>
      <c r="P1413" t="inlineStr">
        <is>
          <t xml:space="preserve">4816148182340</t>
        </is>
      </c>
      <c r="Q1413" s="3" t="str">
        <f>HYPERLINK("https://modify.by/img/1190426410/1.webp","фото")</f>
        <v>фото</v>
      </c>
      <c r="R1413" s="3" t="str">
        <f>HYPERLINK("https://modify.by/catalog/dorozhki-kuhonnye/1190426410/?utm_source=price&amp;utm_medium=xlsx","открыть")</f>
        <v>открыть</v>
      </c>
    </row>
    <row r="1414">
      <c r="A1414"/>
      <c r="B1414" t="inlineStr">
        <is>
          <t xml:space="preserve">Дорожки кухонные</t>
        </is>
      </c>
      <c r="C1414" t="inlineStr">
        <is>
          <t xml:space="preserve">Дорожка на стол ажурная вязаная скатерть раннер бохо, бежевый, арт. T3TС25_молочный_30*140</t>
        </is>
      </c>
      <c r="D1414" t="inlineStr">
        <is>
          <t xml:space="preserve">T3TС25_молочный_30*140</t>
        </is>
      </c>
      <c r="E1414" t="inlineStr">
        <is>
          <t xml:space="preserve">бежевый, молочный</t>
        </is>
      </c>
      <c r="F1414" t="inlineStr">
        <is>
          <t xml:space="preserve">0</t>
        </is>
      </c>
      <c r="G1414">
        <v>27</v>
      </c>
      <c r="H1414" s="2">
        <v>23.0</v>
      </c>
      <c r="I1414" t="inlineStr">
        <is>
          <t xml:space="preserve">100% хлопок</t>
        </is>
      </c>
      <c r="J1414"/>
      <c r="K1414" t="inlineStr">
        <is>
          <t xml:space="preserve">Китай</t>
        </is>
      </c>
      <c r="L1414" t="inlineStr">
        <is>
          <t xml:space="preserve">6302510009</t>
        </is>
      </c>
      <c r="M1414" t="inlineStr">
        <is>
          <t xml:space="preserve">Декларация № ЕАЭС N RU Д-CN.РА04.В.43957/24, до 19.05.2029</t>
        </is>
      </c>
      <c r="N1414" t="inlineStr">
        <is>
          <t xml:space="preserve">17 × 12 × 4</t>
        </is>
      </c>
      <c r="O1414" t="inlineStr">
        <is>
          <t xml:space="preserve">0,15</t>
        </is>
      </c>
      <c r="P1414" t="inlineStr">
        <is>
          <t xml:space="preserve">4816148182364</t>
        </is>
      </c>
      <c r="Q1414" s="3" t="str">
        <f>HYPERLINK("https://modify.by/img/1190494145/1.webp","фото")</f>
        <v>фото</v>
      </c>
      <c r="R1414" s="3" t="str">
        <f>HYPERLINK("https://modify.by/catalog/dorozhki-kuhonnye/1190494145/?utm_source=price&amp;utm_medium=xlsx","открыть")</f>
        <v>открыть</v>
      </c>
    </row>
    <row r="1415">
      <c r="A1415"/>
      <c r="B1415" t="inlineStr">
        <is>
          <t xml:space="preserve">Дорожки кухонные</t>
        </is>
      </c>
      <c r="C1415" t="inlineStr">
        <is>
          <t xml:space="preserve">Дорожка на стол ажурная вязаная скатерть раннер бохо, бежевый, арт. T3TС25_молочный_30*160</t>
        </is>
      </c>
      <c r="D1415" t="inlineStr">
        <is>
          <t xml:space="preserve">T3TС25_молочный_30*160</t>
        </is>
      </c>
      <c r="E1415" t="inlineStr">
        <is>
          <t xml:space="preserve">бежевый, молочный</t>
        </is>
      </c>
      <c r="F1415" t="inlineStr">
        <is>
          <t xml:space="preserve">0</t>
        </is>
      </c>
      <c r="G1415">
        <v>23</v>
      </c>
      <c r="H1415" s="2">
        <v>24.0</v>
      </c>
      <c r="I1415" t="inlineStr">
        <is>
          <t xml:space="preserve">100% хлопок</t>
        </is>
      </c>
      <c r="J1415"/>
      <c r="K1415" t="inlineStr">
        <is>
          <t xml:space="preserve">Китай</t>
        </is>
      </c>
      <c r="L1415" t="inlineStr">
        <is>
          <t xml:space="preserve">6302510009</t>
        </is>
      </c>
      <c r="M1415" t="inlineStr">
        <is>
          <t xml:space="preserve">Декларация № ЕАЭС N RU Д-CN.РА04.В.43957/24, до 19.05.2029</t>
        </is>
      </c>
      <c r="N1415" t="inlineStr">
        <is>
          <t xml:space="preserve">20 × 12 × 5</t>
        </is>
      </c>
      <c r="O1415" t="inlineStr">
        <is>
          <t xml:space="preserve">0,25</t>
        </is>
      </c>
      <c r="P1415" t="inlineStr">
        <is>
          <t xml:space="preserve">4816148182371</t>
        </is>
      </c>
      <c r="Q1415" s="3" t="str">
        <f>HYPERLINK("https://modify.by/img/1190519186/1.webp","фото")</f>
        <v>фото</v>
      </c>
      <c r="R1415" s="3" t="str">
        <f>HYPERLINK("https://modify.by/catalog/dorozhki-kuhonnye/1190519186/?utm_source=price&amp;utm_medium=xlsx","открыть")</f>
        <v>открыть</v>
      </c>
    </row>
    <row r="1416">
      <c r="A1416"/>
      <c r="B1416" t="inlineStr">
        <is>
          <t xml:space="preserve">Дорожки кухонные</t>
        </is>
      </c>
      <c r="C1416" t="inlineStr">
        <is>
          <t xml:space="preserve">Дорожка на стол ажурная вязаная скатерть раннер бохо, бежевый, арт. T3TС25Бежевый32*160</t>
        </is>
      </c>
      <c r="D1416" t="inlineStr">
        <is>
          <t xml:space="preserve">T3TС25Бежевый32*160</t>
        </is>
      </c>
      <c r="E1416" t="inlineStr">
        <is>
          <t xml:space="preserve">бежевый, молочный</t>
        </is>
      </c>
      <c r="F1416" t="inlineStr">
        <is>
          <t xml:space="preserve">0</t>
        </is>
      </c>
      <c r="G1416">
        <v>4</v>
      </c>
      <c r="H1416" s="2">
        <v>17.0</v>
      </c>
      <c r="I1416" t="inlineStr">
        <is>
          <t xml:space="preserve">хлопок 95%, пэ 5%</t>
        </is>
      </c>
      <c r="J1416"/>
      <c r="K1416" t="inlineStr">
        <is>
          <t xml:space="preserve">Китай</t>
        </is>
      </c>
      <c r="L1416" t="inlineStr">
        <is>
          <t xml:space="preserve">6302510009</t>
        </is>
      </c>
      <c r="M1416" t="inlineStr">
        <is>
          <t xml:space="preserve">Декларация № ЕАЭС N RU Д-CN.РА04.В.43957/24, до 19.05.2029</t>
        </is>
      </c>
      <c r="N1416" t="inlineStr">
        <is>
          <t xml:space="preserve">34 × 27 × 1</t>
        </is>
      </c>
      <c r="O1416" t="inlineStr">
        <is>
          <t xml:space="preserve">0,25</t>
        </is>
      </c>
      <c r="P1416" t="inlineStr">
        <is>
          <t xml:space="preserve">4816148169334</t>
        </is>
      </c>
      <c r="Q1416" s="3" t="str">
        <f>HYPERLINK("https://modify.by/img/584735253/1.webp","фото")</f>
        <v>фото</v>
      </c>
      <c r="R1416" s="3" t="str">
        <f>HYPERLINK("https://modify.by/catalog/dorozhki-kuhonnye/584735253/?utm_source=price&amp;utm_medium=xlsx","открыть")</f>
        <v>открыть</v>
      </c>
    </row>
    <row r="1417">
      <c r="A1417"/>
      <c r="B1417" t="inlineStr">
        <is>
          <t xml:space="preserve">Дорожки кухонные</t>
        </is>
      </c>
      <c r="C1417" t="inlineStr">
        <is>
          <t xml:space="preserve">Дорожка на стол ажурная вязаная скатерть раннер бохо, бежевый, арт. T3TС25Бежевый32*220</t>
        </is>
      </c>
      <c r="D1417" t="inlineStr">
        <is>
          <t xml:space="preserve">T3TС25Бежевый32*220</t>
        </is>
      </c>
      <c r="E1417" t="inlineStr">
        <is>
          <t xml:space="preserve">бежевый</t>
        </is>
      </c>
      <c r="F1417" t="inlineStr">
        <is>
          <t xml:space="preserve">0</t>
        </is>
      </c>
      <c r="G1417">
        <v>1</v>
      </c>
      <c r="H1417" s="2">
        <v>22.0</v>
      </c>
      <c r="I1417" t="inlineStr">
        <is>
          <t xml:space="preserve">хлопок 95%, пэ 5%</t>
        </is>
      </c>
      <c r="J1417"/>
      <c r="K1417" t="inlineStr">
        <is>
          <t xml:space="preserve">Китай</t>
        </is>
      </c>
      <c r="L1417" t="inlineStr">
        <is>
          <t xml:space="preserve">6302510009</t>
        </is>
      </c>
      <c r="M1417" t="inlineStr">
        <is>
          <t xml:space="preserve">Декларация № ЕАЭС N RU Д-CN.РА04.В.43957/24, до 19.05.2029</t>
        </is>
      </c>
      <c r="N1417" t="inlineStr">
        <is>
          <t xml:space="preserve">34 × 28 × 1</t>
        </is>
      </c>
      <c r="O1417" t="inlineStr">
        <is>
          <t xml:space="preserve">0,28</t>
        </is>
      </c>
      <c r="P1417" t="inlineStr">
        <is>
          <t xml:space="preserve">4816148169341</t>
        </is>
      </c>
      <c r="Q1417" s="3" t="str">
        <f>HYPERLINK("https://modify.by/img/584751801/1.webp","фото")</f>
        <v>фото</v>
      </c>
      <c r="R1417" s="3" t="str">
        <f>HYPERLINK("https://modify.by/catalog/dorozhki-kuhonnye/584751801/?utm_source=price&amp;utm_medium=xlsx","открыть")</f>
        <v>открыть</v>
      </c>
    </row>
    <row r="1418">
      <c r="A1418"/>
      <c r="B1418" t="inlineStr">
        <is>
          <t xml:space="preserve">Дорожки кухонные</t>
        </is>
      </c>
      <c r="C1418" t="inlineStr">
        <is>
          <t xml:space="preserve">Дорожка на стол ажурная вязаная скатерть раннер бохо, бежевый, арт. T3TС25молочный32*180</t>
        </is>
      </c>
      <c r="D1418" t="inlineStr">
        <is>
          <t xml:space="preserve">T3TС25молочный32*180</t>
        </is>
      </c>
      <c r="E1418" t="inlineStr">
        <is>
          <t xml:space="preserve">бежевый, молочный</t>
        </is>
      </c>
      <c r="F1418" t="inlineStr">
        <is>
          <t xml:space="preserve">0</t>
        </is>
      </c>
      <c r="G1418">
        <v>34</v>
      </c>
      <c r="H1418" s="2">
        <v>28.0</v>
      </c>
      <c r="I1418" t="inlineStr">
        <is>
          <t xml:space="preserve">хлопок 95%, пэ 5%</t>
        </is>
      </c>
      <c r="J1418"/>
      <c r="K1418" t="inlineStr">
        <is>
          <t xml:space="preserve">Китай</t>
        </is>
      </c>
      <c r="L1418" t="inlineStr">
        <is>
          <t xml:space="preserve">6302510009</t>
        </is>
      </c>
      <c r="M1418" t="inlineStr">
        <is>
          <t xml:space="preserve">Декларация № ЕАЭС N RU Д-CN.РА04.В.43957/24, до 19.05.2029</t>
        </is>
      </c>
      <c r="N1418" t="inlineStr">
        <is>
          <t xml:space="preserve">33 × 27 × 1</t>
        </is>
      </c>
      <c r="O1418" t="inlineStr">
        <is>
          <t xml:space="preserve">0,19</t>
        </is>
      </c>
      <c r="P1418" t="inlineStr">
        <is>
          <t xml:space="preserve">4816148169303</t>
        </is>
      </c>
      <c r="Q1418" s="3" t="str">
        <f>HYPERLINK("https://modify.by/img/584894406/1.webp","фото")</f>
        <v>фото</v>
      </c>
      <c r="R1418" s="3" t="str">
        <f>HYPERLINK("https://modify.by/catalog/dorozhki-kuhonnye/584894406/?utm_source=price&amp;utm_medium=xlsx","открыть")</f>
        <v>открыть</v>
      </c>
    </row>
    <row r="1419">
      <c r="A1419"/>
      <c r="B1419" t="inlineStr">
        <is>
          <t xml:space="preserve">Дорожки кухонные</t>
        </is>
      </c>
      <c r="C1419" t="inlineStr">
        <is>
          <t xml:space="preserve">Дорожка на стол ажурная вязаная скатерть раннер бохо, бежевый, арт. T3TС25молочный32*240</t>
        </is>
      </c>
      <c r="D1419" t="inlineStr">
        <is>
          <t xml:space="preserve">T3TС25молочный32*240</t>
        </is>
      </c>
      <c r="E1419" t="inlineStr">
        <is>
          <t xml:space="preserve">бежевый, молочный</t>
        </is>
      </c>
      <c r="F1419" t="inlineStr">
        <is>
          <t xml:space="preserve">0</t>
        </is>
      </c>
      <c r="G1419">
        <v>45</v>
      </c>
      <c r="H1419" s="2">
        <v>36.0</v>
      </c>
      <c r="I1419" t="inlineStr">
        <is>
          <t xml:space="preserve">хлопок 95%, пэ 5%</t>
        </is>
      </c>
      <c r="J1419"/>
      <c r="K1419" t="inlineStr">
        <is>
          <t xml:space="preserve">Китай</t>
        </is>
      </c>
      <c r="L1419" t="inlineStr">
        <is>
          <t xml:space="preserve">6302510009</t>
        </is>
      </c>
      <c r="M1419" t="inlineStr">
        <is>
          <t xml:space="preserve">Декларация № ЕАЭС N RU Д-CN.РА04.В.43957/24, до 19.05.2029</t>
        </is>
      </c>
      <c r="N1419" t="inlineStr">
        <is>
          <t xml:space="preserve">33 × 27 × 1</t>
        </is>
      </c>
      <c r="O1419" t="inlineStr">
        <is>
          <t xml:space="preserve">0,24</t>
        </is>
      </c>
      <c r="P1419" t="inlineStr">
        <is>
          <t xml:space="preserve">4816148169310</t>
        </is>
      </c>
      <c r="Q1419" s="3" t="str">
        <f>HYPERLINK("https://modify.by/img/584898365/1.webp","фото")</f>
        <v>фото</v>
      </c>
      <c r="R1419" s="3" t="str">
        <f>HYPERLINK("https://modify.by/catalog/dorozhki-kuhonnye/584898365/?utm_source=price&amp;utm_medium=xlsx","открыть")</f>
        <v>открыть</v>
      </c>
    </row>
    <row r="1420">
      <c r="A1420"/>
      <c r="B1420" t="inlineStr">
        <is>
          <t xml:space="preserve">Дорожки кухонные</t>
        </is>
      </c>
      <c r="C1420" t="inlineStr">
        <is>
          <t xml:space="preserve">Дорожка скатерть Новогодняя и на Рождество 35х140</t>
        </is>
      </c>
      <c r="D1420" t="inlineStr">
        <is>
          <t xml:space="preserve">T3TС26зеленый35*140</t>
        </is>
      </c>
      <c r="E1420" t="inlineStr">
        <is>
          <t xml:space="preserve">зеленый, золотистый</t>
        </is>
      </c>
      <c r="F1420" t="inlineStr">
        <is>
          <t xml:space="preserve">0</t>
        </is>
      </c>
      <c r="G1420">
        <v>5</v>
      </c>
      <c r="H1420" s="2">
        <v>26.0</v>
      </c>
      <c r="I1420" t="inlineStr">
        <is>
          <t xml:space="preserve">полиэфирное волокно</t>
        </is>
      </c>
      <c r="J1420"/>
      <c r="K1420" t="inlineStr">
        <is>
          <t xml:space="preserve">Китай</t>
        </is>
      </c>
      <c r="L1420" t="inlineStr">
        <is>
          <t xml:space="preserve">6302539000</t>
        </is>
      </c>
      <c r="M1420" t="inlineStr">
        <is>
          <t xml:space="preserve">Декларация № ЕАЭС N RU Д-CN.РА04.В.43957/24, до 19.05.2029</t>
        </is>
      </c>
      <c r="N1420" t="inlineStr">
        <is>
          <t xml:space="preserve">35 × 27 × 1</t>
        </is>
      </c>
      <c r="O1420" t="inlineStr">
        <is>
          <t xml:space="preserve">0,17</t>
        </is>
      </c>
      <c r="P1420" t="inlineStr">
        <is>
          <t xml:space="preserve">4816148169365</t>
        </is>
      </c>
      <c r="Q1420" s="3" t="str">
        <f>HYPERLINK("https://modify.by/img/585164395/1.webp","фото")</f>
        <v>фото</v>
      </c>
      <c r="R1420" s="3" t="str">
        <f>HYPERLINK("https://modify.by/catalog/dorozhki-kuhonnye/585164395/?utm_source=price&amp;utm_medium=xlsx","открыть")</f>
        <v>открыть</v>
      </c>
    </row>
    <row r="1421">
      <c r="A1421"/>
      <c r="B1421" t="inlineStr">
        <is>
          <t xml:space="preserve">Дорожки кухонные</t>
        </is>
      </c>
      <c r="C1421" t="inlineStr">
        <is>
          <t xml:space="preserve">Дорожка скатерть Новогодняя и на Рождество 35х160</t>
        </is>
      </c>
      <c r="D1421" t="inlineStr">
        <is>
          <t xml:space="preserve">T3TС26Бежевый,красный 35*160</t>
        </is>
      </c>
      <c r="E1421" t="inlineStr">
        <is>
          <t xml:space="preserve">красный, бежевый</t>
        </is>
      </c>
      <c r="F1421" t="inlineStr">
        <is>
          <t xml:space="preserve">0</t>
        </is>
      </c>
      <c r="G1421">
        <v>23</v>
      </c>
      <c r="H1421" s="2">
        <v>42.0</v>
      </c>
      <c r="I1421" t="inlineStr">
        <is>
          <t xml:space="preserve">полиэфирное волокно</t>
        </is>
      </c>
      <c r="J1421"/>
      <c r="K1421" t="inlineStr">
        <is>
          <t xml:space="preserve">Китай</t>
        </is>
      </c>
      <c r="L1421" t="inlineStr">
        <is>
          <t xml:space="preserve">6302539000</t>
        </is>
      </c>
      <c r="M1421" t="inlineStr">
        <is>
          <t xml:space="preserve">Декларация № ЕАЭС N RU Д-CN.РА04.В.43957/24, до 19.05.2029</t>
        </is>
      </c>
      <c r="N1421" t="inlineStr">
        <is>
          <t xml:space="preserve">37 × 27 × 1</t>
        </is>
      </c>
      <c r="O1421" t="inlineStr">
        <is>
          <t xml:space="preserve">0,16</t>
        </is>
      </c>
      <c r="P1421" t="inlineStr">
        <is>
          <t xml:space="preserve">4816148169389</t>
        </is>
      </c>
      <c r="Q1421" s="3" t="str">
        <f>HYPERLINK("https://modify.by/img/585306265/1.webp","фото")</f>
        <v>фото</v>
      </c>
      <c r="R1421" s="3" t="str">
        <f>HYPERLINK("https://modify.by/catalog/dorozhki-kuhonnye/585306265/?utm_source=price&amp;utm_medium=xlsx","открыть")</f>
        <v>открыть</v>
      </c>
    </row>
    <row r="1422">
      <c r="A1422"/>
      <c r="B1422" t="inlineStr">
        <is>
          <t xml:space="preserve">Дорожки кухонные</t>
        </is>
      </c>
      <c r="C1422" t="inlineStr">
        <is>
          <t xml:space="preserve">Дорожка скатерть Новогодняя и на Рождество 35х220, зеленый</t>
        </is>
      </c>
      <c r="D1422" t="inlineStr">
        <is>
          <t xml:space="preserve">T3TС26зеленый35*220</t>
        </is>
      </c>
      <c r="E1422" t="inlineStr">
        <is>
          <t xml:space="preserve">зеленый, золотистый</t>
        </is>
      </c>
      <c r="F1422" t="inlineStr">
        <is>
          <t xml:space="preserve">0</t>
        </is>
      </c>
      <c r="G1422">
        <v>10</v>
      </c>
      <c r="H1422" s="2">
        <v>41.0</v>
      </c>
      <c r="I1422" t="inlineStr">
        <is>
          <t xml:space="preserve">полиэфирное волокно</t>
        </is>
      </c>
      <c r="J1422"/>
      <c r="K1422" t="inlineStr">
        <is>
          <t xml:space="preserve">Китай</t>
        </is>
      </c>
      <c r="L1422" t="inlineStr">
        <is>
          <t xml:space="preserve">6302539000</t>
        </is>
      </c>
      <c r="M1422" t="inlineStr">
        <is>
          <t xml:space="preserve">Декларация № ЕАЭС N RU Д-CN.РА04.В.43957/24, до 19.05.2029</t>
        </is>
      </c>
      <c r="N1422" t="inlineStr">
        <is>
          <t xml:space="preserve">36 × 27 × 2</t>
        </is>
      </c>
      <c r="O1422" t="inlineStr">
        <is>
          <t xml:space="preserve">0,26</t>
        </is>
      </c>
      <c r="P1422" t="inlineStr">
        <is>
          <t xml:space="preserve">4816148169372</t>
        </is>
      </c>
      <c r="Q1422" s="3" t="str">
        <f>HYPERLINK("https://modify.by/img/585270430/1.webp","фото")</f>
        <v>фото</v>
      </c>
      <c r="R1422" s="3" t="str">
        <f>HYPERLINK("https://modify.by/catalog/dorozhki-kuhonnye/585270430/?utm_source=price&amp;utm_medium=xlsx","открыть")</f>
        <v>открыть</v>
      </c>
    </row>
    <row r="1423">
      <c r="A1423"/>
      <c r="B1423" t="inlineStr">
        <is>
          <t xml:space="preserve">Дорожки кухонные</t>
        </is>
      </c>
      <c r="C1423" t="inlineStr">
        <is>
          <t xml:space="preserve">Дорожка скатерть Новогодняя и на Рождество 35х220, красный</t>
        </is>
      </c>
      <c r="D1423" t="inlineStr">
        <is>
          <t xml:space="preserve">T3TС26Бежевый,красный 35*220</t>
        </is>
      </c>
      <c r="E1423" t="inlineStr">
        <is>
          <t xml:space="preserve">красный, бежевый</t>
        </is>
      </c>
      <c r="F1423" t="inlineStr">
        <is>
          <t xml:space="preserve">0</t>
        </is>
      </c>
      <c r="G1423">
        <v>3</v>
      </c>
      <c r="H1423" s="2">
        <v>53.0</v>
      </c>
      <c r="I1423" t="inlineStr">
        <is>
          <t xml:space="preserve">полиэфирное волокно</t>
        </is>
      </c>
      <c r="J1423"/>
      <c r="K1423" t="inlineStr">
        <is>
          <t xml:space="preserve">Китай</t>
        </is>
      </c>
      <c r="L1423" t="inlineStr">
        <is>
          <t xml:space="preserve">6302539000</t>
        </is>
      </c>
      <c r="M1423" t="inlineStr">
        <is>
          <t xml:space="preserve">Декларация № ЕАЭС N RU Д-CN.РА04.В.43957/24, до 19.05.2029</t>
        </is>
      </c>
      <c r="N1423" t="inlineStr">
        <is>
          <t xml:space="preserve">37 × 27 × 3</t>
        </is>
      </c>
      <c r="O1423" t="inlineStr">
        <is>
          <t xml:space="preserve">0,45</t>
        </is>
      </c>
      <c r="P1423" t="inlineStr">
        <is>
          <t xml:space="preserve">4816148169396</t>
        </is>
      </c>
      <c r="Q1423" s="3" t="str">
        <f>HYPERLINK("https://modify.by/img/585309023/1.webp","фото")</f>
        <v>фото</v>
      </c>
      <c r="R1423" s="3" t="str">
        <f>HYPERLINK("https://modify.by/catalog/dorozhki-kuhonnye/585309023/?utm_source=price&amp;utm_medium=xlsx","открыть")</f>
        <v>открыть</v>
      </c>
    </row>
    <row r="1424">
      <c r="A1424"/>
      <c r="B1424" t="inlineStr">
        <is>
          <t xml:space="preserve">Дорожки кухонные</t>
        </is>
      </c>
      <c r="C1424" t="inlineStr">
        <is>
          <t xml:space="preserve">Дорожка скатерть Новогодняя и на Рождество 35х260</t>
        </is>
      </c>
      <c r="D1424" t="inlineStr">
        <is>
          <t xml:space="preserve">T3TС26Бежевый,красный 35*260</t>
        </is>
      </c>
      <c r="E1424" t="inlineStr">
        <is>
          <t xml:space="preserve">красный, бежевый</t>
        </is>
      </c>
      <c r="F1424" t="inlineStr">
        <is>
          <t xml:space="preserve">0</t>
        </is>
      </c>
      <c r="G1424">
        <v>2</v>
      </c>
      <c r="H1424" s="2">
        <v>61.0</v>
      </c>
      <c r="I1424" t="inlineStr">
        <is>
          <t xml:space="preserve">полиэфирное волокно</t>
        </is>
      </c>
      <c r="J1424"/>
      <c r="K1424" t="inlineStr">
        <is>
          <t xml:space="preserve">Китай</t>
        </is>
      </c>
      <c r="L1424" t="inlineStr">
        <is>
          <t xml:space="preserve">6302539000</t>
        </is>
      </c>
      <c r="M1424" t="inlineStr">
        <is>
          <t xml:space="preserve">Декларация № ЕАЭС N RU Д-CN.РА04.В.43957/24, до 19.05.2029</t>
        </is>
      </c>
      <c r="N1424" t="inlineStr">
        <is>
          <t xml:space="preserve">37 × 27 × 2</t>
        </is>
      </c>
      <c r="O1424" t="inlineStr">
        <is>
          <t xml:space="preserve">0,52</t>
        </is>
      </c>
      <c r="P1424" t="inlineStr">
        <is>
          <t xml:space="preserve">4816148169402</t>
        </is>
      </c>
      <c r="Q1424" s="3" t="str">
        <f>HYPERLINK("https://modify.by/img/585313103/1.webp","фото")</f>
        <v>фото</v>
      </c>
      <c r="R1424" s="3" t="str">
        <f>HYPERLINK("https://modify.by/catalog/dorozhki-kuhonnye/585313103/?utm_source=price&amp;utm_medium=xlsx","открыть")</f>
        <v>открыть</v>
      </c>
    </row>
    <row r="1425">
      <c r="A1425"/>
      <c r="B1425" t="inlineStr">
        <is>
          <t xml:space="preserve">Подушки декоративные</t>
        </is>
      </c>
      <c r="C1425" t="inlineStr">
        <is>
          <t xml:space="preserve">Круглая подушка послеродовая с анатомическим отверстием</t>
        </is>
      </c>
      <c r="D1425" t="inlineStr">
        <is>
          <t xml:space="preserve">T352CU05серый</t>
        </is>
      </c>
      <c r="E1425" t="inlineStr">
        <is>
          <t xml:space="preserve">серый</t>
        </is>
      </c>
      <c r="F1425" t="inlineStr">
        <is>
          <t xml:space="preserve">0</t>
        </is>
      </c>
      <c r="G1425">
        <v>19</v>
      </c>
      <c r="H1425" s="2">
        <v>23.0</v>
      </c>
      <c r="I1425"/>
      <c r="J1425"/>
      <c r="K1425" t="inlineStr">
        <is>
          <t xml:space="preserve">Китай</t>
        </is>
      </c>
      <c r="L1425" t="inlineStr">
        <is>
          <t xml:space="preserve">9404908000</t>
        </is>
      </c>
      <c r="M1425" t="inlineStr">
        <is>
          <t xml:space="preserve">Декларация № ЕАЭС № BY/112 11.01. ТР017 122.01 21177, до 27.05.2030</t>
        </is>
      </c>
      <c r="N1425" t="inlineStr">
        <is>
          <t xml:space="preserve">30 × 22 × 11</t>
        </is>
      </c>
      <c r="O1425" t="inlineStr">
        <is>
          <t xml:space="preserve">0,36</t>
        </is>
      </c>
      <c r="P1425" t="inlineStr">
        <is>
          <t xml:space="preserve">4816148171399</t>
        </is>
      </c>
      <c r="Q1425" s="3" t="str">
        <f>HYPERLINK("https://modify.by/img/556713055/1.webp","фото")</f>
        <v>фото</v>
      </c>
      <c r="R1425" s="3" t="str">
        <f>HYPERLINK("https://modify.by/catalog/podushki-dekorativnye/556713055/?utm_source=price&amp;utm_medium=xlsx","открыть")</f>
        <v>открыть</v>
      </c>
    </row>
    <row r="1426">
      <c r="A1426"/>
      <c r="B1426" t="inlineStr">
        <is>
          <t xml:space="preserve">Подушки декоративные</t>
        </is>
      </c>
      <c r="C1426" t="inlineStr">
        <is>
          <t xml:space="preserve">Подушка для копчика с анатомическим отверстием</t>
        </is>
      </c>
      <c r="D1426" t="inlineStr">
        <is>
          <t xml:space="preserve">T352CU05зеленый</t>
        </is>
      </c>
      <c r="E1426" t="inlineStr">
        <is>
          <t xml:space="preserve">зеленый</t>
        </is>
      </c>
      <c r="F1426" t="inlineStr">
        <is>
          <t xml:space="preserve">0</t>
        </is>
      </c>
      <c r="G1426">
        <v>45</v>
      </c>
      <c r="H1426" s="2">
        <v>23.0</v>
      </c>
      <c r="I1426"/>
      <c r="J1426"/>
      <c r="K1426" t="inlineStr">
        <is>
          <t xml:space="preserve">Китай</t>
        </is>
      </c>
      <c r="L1426" t="inlineStr">
        <is>
          <t xml:space="preserve">9404908000</t>
        </is>
      </c>
      <c r="M1426" t="inlineStr">
        <is>
          <t xml:space="preserve">Декларация № ЕАЭС № BY/112 11.01. ТР017 122.01 21177, до 27.05.2030</t>
        </is>
      </c>
      <c r="N1426" t="inlineStr">
        <is>
          <t xml:space="preserve">25 × 20 × 7</t>
        </is>
      </c>
      <c r="O1426" t="inlineStr">
        <is>
          <t xml:space="preserve">0,39</t>
        </is>
      </c>
      <c r="P1426" t="inlineStr">
        <is>
          <t xml:space="preserve">4816148171382</t>
        </is>
      </c>
      <c r="Q1426" s="3" t="str">
        <f>HYPERLINK("https://modify.by/img/556628946/1.webp","фото")</f>
        <v>фото</v>
      </c>
      <c r="R1426" s="3" t="str">
        <f>HYPERLINK("https://modify.by/catalog/podushki-dekorativnye/556628946/?utm_source=price&amp;utm_medium=xlsx","открыть")</f>
        <v>открыть</v>
      </c>
    </row>
    <row r="1427">
      <c r="A1427"/>
      <c r="B1427" t="inlineStr">
        <is>
          <t xml:space="preserve">Подушки декоративные</t>
        </is>
      </c>
      <c r="C1427" t="inlineStr">
        <is>
          <t xml:space="preserve">Подушка опорная для чтения и комфорта</t>
        </is>
      </c>
      <c r="D1427" t="inlineStr">
        <is>
          <t xml:space="preserve">T352CU04бежевый</t>
        </is>
      </c>
      <c r="E1427" t="inlineStr">
        <is>
          <t xml:space="preserve">бежевый</t>
        </is>
      </c>
      <c r="F1427" t="inlineStr">
        <is>
          <t xml:space="preserve">0</t>
        </is>
      </c>
      <c r="G1427">
        <v>34</v>
      </c>
      <c r="H1427" s="2">
        <v>38.0</v>
      </c>
      <c r="I1427"/>
      <c r="J1427"/>
      <c r="K1427" t="inlineStr">
        <is>
          <t xml:space="preserve">Китай</t>
        </is>
      </c>
      <c r="L1427" t="inlineStr">
        <is>
          <t xml:space="preserve">9404908000</t>
        </is>
      </c>
      <c r="M1427" t="inlineStr">
        <is>
          <t xml:space="preserve">Декларация № ЕАЭС № BY/112 11.01. ТР017 122.01 21177, до 27.05.2030</t>
        </is>
      </c>
      <c r="N1427" t="inlineStr">
        <is>
          <t xml:space="preserve">44 × 32 × 10</t>
        </is>
      </c>
      <c r="O1427" t="inlineStr">
        <is>
          <t xml:space="preserve">0,71</t>
        </is>
      </c>
      <c r="P1427" t="inlineStr">
        <is>
          <t xml:space="preserve">4816148171368</t>
        </is>
      </c>
      <c r="Q1427" s="3" t="str">
        <f>HYPERLINK("https://modify.by/img/556545938/1.webp","фото")</f>
        <v>фото</v>
      </c>
      <c r="R1427" s="3" t="str">
        <f>HYPERLINK("https://modify.by/catalog/podushki-dekorativnye/556545938/?utm_source=price&amp;utm_medium=xlsx","открыть")</f>
        <v>открыть</v>
      </c>
    </row>
    <row r="1428">
      <c r="A1428"/>
      <c r="B1428" t="inlineStr">
        <is>
          <t xml:space="preserve">Подушки декоративные</t>
        </is>
      </c>
      <c r="C1428" t="inlineStr">
        <is>
          <t xml:space="preserve">Подушка под поясницу на стул</t>
        </is>
      </c>
      <c r="D1428" t="inlineStr">
        <is>
          <t xml:space="preserve">T352CU03_35*20_зеленый</t>
        </is>
      </c>
      <c r="E1428" t="inlineStr">
        <is>
          <t xml:space="preserve">зеленое яблоко</t>
        </is>
      </c>
      <c r="F1428" t="inlineStr">
        <is>
          <t xml:space="preserve">0</t>
        </is>
      </c>
      <c r="G1428">
        <v>23</v>
      </c>
      <c r="H1428" s="2">
        <v>17.0</v>
      </c>
      <c r="I1428"/>
      <c r="J1428"/>
      <c r="K1428" t="inlineStr">
        <is>
          <t xml:space="preserve">Китай</t>
        </is>
      </c>
      <c r="L1428" t="inlineStr">
        <is>
          <t xml:space="preserve">9404908000</t>
        </is>
      </c>
      <c r="M1428" t="inlineStr">
        <is>
          <t xml:space="preserve">Декларация № ЕАЭС № BY/112 11.01. ТР017 122.01 21177, до 27.05.2030</t>
        </is>
      </c>
      <c r="N1428" t="inlineStr">
        <is>
          <t xml:space="preserve">26 × 21 × 7</t>
        </is>
      </c>
      <c r="O1428" t="inlineStr">
        <is>
          <t xml:space="preserve">0,45</t>
        </is>
      </c>
      <c r="P1428" t="inlineStr">
        <is>
          <t xml:space="preserve">4816148171344</t>
        </is>
      </c>
      <c r="Q1428" s="3" t="str">
        <f>HYPERLINK("https://modify.by/img/555518084/1.webp","фото")</f>
        <v>фото</v>
      </c>
      <c r="R1428" s="3" t="str">
        <f>HYPERLINK("https://modify.by/catalog/podushki-dekorativnye/555518084/?utm_source=price&amp;utm_medium=xlsx","открыть")</f>
        <v>открыть</v>
      </c>
    </row>
    <row r="1429">
      <c r="A1429"/>
      <c r="B1429" t="inlineStr">
        <is>
          <t xml:space="preserve">Подушки декоративные</t>
        </is>
      </c>
      <c r="C1429" t="inlineStr">
        <is>
          <t xml:space="preserve">Подушка эргономичная для чтения и комфорта спины</t>
        </is>
      </c>
      <c r="D1429" t="inlineStr">
        <is>
          <t xml:space="preserve">T352CU04серый</t>
        </is>
      </c>
      <c r="E1429" t="inlineStr">
        <is>
          <t xml:space="preserve">серый</t>
        </is>
      </c>
      <c r="F1429" t="inlineStr">
        <is>
          <t xml:space="preserve">0</t>
        </is>
      </c>
      <c r="G1429">
        <v>42</v>
      </c>
      <c r="H1429" s="2">
        <v>38.0</v>
      </c>
      <c r="I1429"/>
      <c r="J1429"/>
      <c r="K1429" t="inlineStr">
        <is>
          <t xml:space="preserve">Китай</t>
        </is>
      </c>
      <c r="L1429" t="inlineStr">
        <is>
          <t xml:space="preserve">9404908000</t>
        </is>
      </c>
      <c r="M1429" t="inlineStr">
        <is>
          <t xml:space="preserve">Декларация № ЕАЭС № BY/112 11.01. ТР017 122.01 21177, до 27.05.2030</t>
        </is>
      </c>
      <c r="N1429" t="inlineStr">
        <is>
          <t xml:space="preserve">44 × 32 × 10</t>
        </is>
      </c>
      <c r="O1429" t="inlineStr">
        <is>
          <t xml:space="preserve">0,71</t>
        </is>
      </c>
      <c r="P1429" t="inlineStr">
        <is>
          <t xml:space="preserve">4816148171375</t>
        </is>
      </c>
      <c r="Q1429" s="3" t="str">
        <f>HYPERLINK("https://modify.by/img/556614092/1.webp","фото")</f>
        <v>фото</v>
      </c>
      <c r="R1429" s="3" t="str">
        <f>HYPERLINK("https://modify.by/catalog/podushki-dekorativnye/556614092/?utm_source=price&amp;utm_medium=xlsx","открыть")</f>
        <v>открыть</v>
      </c>
    </row>
    <row r="1430">
      <c r="A1430"/>
      <c r="B1430" t="inlineStr">
        <is>
          <t xml:space="preserve">Сарафаны</t>
        </is>
      </c>
      <c r="C1430" t="inlineStr">
        <is>
          <t xml:space="preserve">сарафан летний длинный хлопковый, желтый</t>
        </is>
      </c>
      <c r="D1430" t="inlineStr">
        <is>
          <t xml:space="preserve">DR22W02Желтый</t>
        </is>
      </c>
      <c r="E1430" t="inlineStr">
        <is>
          <t xml:space="preserve">желтый</t>
        </is>
      </c>
      <c r="F1430" t="inlineStr">
        <is>
          <t xml:space="preserve">40</t>
        </is>
      </c>
      <c r="G1430">
        <v>1</v>
      </c>
      <c r="H1430" s="2">
        <v>34.0</v>
      </c>
      <c r="I1430" t="inlineStr">
        <is>
          <t xml:space="preserve">хлопок 100%</t>
        </is>
      </c>
      <c r="J1430"/>
      <c r="K1430" t="inlineStr">
        <is>
          <t xml:space="preserve">Бангладеш</t>
        </is>
      </c>
      <c r="L1430" t="inlineStr">
        <is>
          <t xml:space="preserve">6104440000</t>
        </is>
      </c>
      <c r="M1430" t="inlineStr">
        <is>
          <t xml:space="preserve">по запросу</t>
        </is>
      </c>
      <c r="N1430"/>
      <c r="O1430"/>
      <c r="P1430" t="inlineStr">
        <is>
          <t xml:space="preserve">2016957068947</t>
        </is>
      </c>
      <c r="Q1430" s="3" t="str">
        <f>HYPERLINK("https://modify.by/img/92521339/1.webp","фото")</f>
        <v>фото</v>
      </c>
      <c r="R1430" s="3" t="str">
        <f>HYPERLINK("https://modify.by/catalog/sarafany/92521339/?utm_source=price&amp;utm_medium=xlsx","открыть")</f>
        <v>открыть</v>
      </c>
    </row>
    <row r="1431">
      <c r="A1431"/>
      <c r="B1431" t="inlineStr">
        <is>
          <t xml:space="preserve">Сарафаны</t>
        </is>
      </c>
      <c r="C1431" t="inlineStr">
        <is>
          <t xml:space="preserve">сарафан летний длинный хлопковый, молочный</t>
        </is>
      </c>
      <c r="D1431" t="inlineStr">
        <is>
          <t xml:space="preserve">DR22W02Молочный</t>
        </is>
      </c>
      <c r="E1431" t="inlineStr">
        <is>
          <t xml:space="preserve">молочный</t>
        </is>
      </c>
      <c r="F1431" t="inlineStr">
        <is>
          <t xml:space="preserve">46</t>
        </is>
      </c>
      <c r="G1431">
        <v>1</v>
      </c>
      <c r="H1431" s="2">
        <v>34.0</v>
      </c>
      <c r="I1431" t="inlineStr">
        <is>
          <t xml:space="preserve">хлопок 100%</t>
        </is>
      </c>
      <c r="J1431"/>
      <c r="K1431" t="inlineStr">
        <is>
          <t xml:space="preserve">Бангладеш</t>
        </is>
      </c>
      <c r="L1431" t="inlineStr">
        <is>
          <t xml:space="preserve">6104440000</t>
        </is>
      </c>
      <c r="M1431" t="inlineStr">
        <is>
          <t xml:space="preserve">по запросу</t>
        </is>
      </c>
      <c r="N1431"/>
      <c r="O1431"/>
      <c r="P1431" t="inlineStr">
        <is>
          <t xml:space="preserve">2016957069098</t>
        </is>
      </c>
      <c r="Q1431" s="3" t="str">
        <f>HYPERLINK("https://modify.by/img/92521340/1.webp","фото")</f>
        <v>фото</v>
      </c>
      <c r="R1431" s="3" t="str">
        <f>HYPERLINK("https://modify.by/catalog/sarafany/92521340/?utm_source=price&amp;utm_medium=xlsx","открыть")</f>
        <v>открыть</v>
      </c>
    </row>
    <row r="1432">
      <c r="A1432"/>
      <c r="B1432" t="inlineStr">
        <is>
          <t xml:space="preserve">Скатерти</t>
        </is>
      </c>
      <c r="C1432" t="inlineStr">
        <is>
          <t xml:space="preserve">Скатерть ажурная вязаная хлопок винтажная бохо</t>
        </is>
      </c>
      <c r="D1432" t="inlineStr">
        <is>
          <t xml:space="preserve">T3TC202жемчужно-белый120*120</t>
        </is>
      </c>
      <c r="E1432" t="inlineStr">
        <is>
          <t xml:space="preserve">жемчужно-белый, белый</t>
        </is>
      </c>
      <c r="F1432" t="inlineStr">
        <is>
          <t xml:space="preserve">0</t>
        </is>
      </c>
      <c r="G1432">
        <v>3</v>
      </c>
      <c r="H1432" s="2">
        <v>118.4</v>
      </c>
      <c r="I1432"/>
      <c r="J1432"/>
      <c r="K1432"/>
      <c r="L1432" t="inlineStr">
        <is>
          <t xml:space="preserve">6302539000</t>
        </is>
      </c>
      <c r="M1432" t="inlineStr">
        <is>
          <t xml:space="preserve">Декларация № ЕАЭС N RU Д-CN.РА04.В.43957/24, до 19.05.2029</t>
        </is>
      </c>
      <c r="N1432" t="inlineStr">
        <is>
          <t xml:space="preserve">25 × 5 × 33</t>
        </is>
      </c>
      <c r="O1432" t="inlineStr">
        <is>
          <t xml:space="preserve">0,37</t>
        </is>
      </c>
      <c r="P1432" t="inlineStr">
        <is>
          <t xml:space="preserve">4816148165473</t>
        </is>
      </c>
      <c r="Q1432" s="3" t="str">
        <f>HYPERLINK("https://modify.by/img/406062966/1.webp","фото")</f>
        <v>фото</v>
      </c>
      <c r="R1432" s="3" t="str">
        <f>HYPERLINK("https://modify.by/catalog/skaterti/406062966/?utm_source=price&amp;utm_medium=xlsx","открыть")</f>
        <v>открыть</v>
      </c>
    </row>
    <row r="1433">
      <c r="A1433"/>
      <c r="B1433" t="inlineStr">
        <is>
          <t xml:space="preserve">Скатерти</t>
        </is>
      </c>
      <c r="C1433" t="inlineStr">
        <is>
          <t xml:space="preserve">Скатерть винтажная ажурная вязаня хлопок интерьерная</t>
        </is>
      </c>
      <c r="D1433" t="inlineStr">
        <is>
          <t xml:space="preserve">T3TC202шампань_135*135</t>
        </is>
      </c>
      <c r="E1433" t="inlineStr">
        <is>
          <t xml:space="preserve">шампань</t>
        </is>
      </c>
      <c r="F1433" t="inlineStr">
        <is>
          <t xml:space="preserve">0</t>
        </is>
      </c>
      <c r="G1433">
        <v>21</v>
      </c>
      <c r="H1433" s="2">
        <v>60.0</v>
      </c>
      <c r="I1433"/>
      <c r="J1433"/>
      <c r="K1433" t="inlineStr">
        <is>
          <t xml:space="preserve">Китай</t>
        </is>
      </c>
      <c r="L1433" t="inlineStr">
        <is>
          <t xml:space="preserve">6302510009</t>
        </is>
      </c>
      <c r="M1433" t="inlineStr">
        <is>
          <t xml:space="preserve">Декларация № ЕАЭС N RU Д-CN.РА04.В.43957/24, до 19.05.2029</t>
        </is>
      </c>
      <c r="N1433" t="inlineStr">
        <is>
          <t xml:space="preserve">30 × 19 × 9</t>
        </is>
      </c>
      <c r="O1433" t="inlineStr">
        <is>
          <t xml:space="preserve">0,57</t>
        </is>
      </c>
      <c r="P1433" t="inlineStr">
        <is>
          <t xml:space="preserve">4816148182333</t>
        </is>
      </c>
      <c r="Q1433" s="3" t="str">
        <f>HYPERLINK("https://modify.by/img/1183327610/1.webp","фото")</f>
        <v>фото</v>
      </c>
      <c r="R1433" s="3" t="str">
        <f>HYPERLINK("https://modify.by/catalog/skaterti/1183327610/?utm_source=price&amp;utm_medium=xlsx","открыть")</f>
        <v>открыть</v>
      </c>
    </row>
    <row r="1434">
      <c r="A1434"/>
      <c r="B1434" t="inlineStr">
        <is>
          <t xml:space="preserve">Скатерти</t>
        </is>
      </c>
      <c r="C1434" t="inlineStr">
        <is>
          <t xml:space="preserve">Скатерть вязаная кружевная 120*120 см</t>
        </is>
      </c>
      <c r="D1434" t="inlineStr">
        <is>
          <t xml:space="preserve">T3TC202молочный120*120</t>
        </is>
      </c>
      <c r="E1434" t="inlineStr">
        <is>
          <t xml:space="preserve">белый песок, молочный, светло-бежевый</t>
        </is>
      </c>
      <c r="F1434" t="inlineStr">
        <is>
          <t xml:space="preserve">0</t>
        </is>
      </c>
      <c r="G1434">
        <v>2</v>
      </c>
      <c r="H1434" s="2">
        <v>114.7</v>
      </c>
      <c r="I1434"/>
      <c r="J1434"/>
      <c r="K1434" t="inlineStr">
        <is>
          <t xml:space="preserve">Китай</t>
        </is>
      </c>
      <c r="L1434" t="inlineStr">
        <is>
          <t xml:space="preserve">6302539000</t>
        </is>
      </c>
      <c r="M1434" t="inlineStr">
        <is>
          <t xml:space="preserve">Декларация № ЕАЭС N RU Д-CN.РА04.В.43957/24, до 19.05.2029</t>
        </is>
      </c>
      <c r="N1434" t="inlineStr">
        <is>
          <t xml:space="preserve">30 × 19 × 8</t>
        </is>
      </c>
      <c r="O1434" t="inlineStr">
        <is>
          <t xml:space="preserve">0,41</t>
        </is>
      </c>
      <c r="P1434" t="inlineStr">
        <is>
          <t xml:space="preserve">4816148150561</t>
        </is>
      </c>
      <c r="Q1434" s="3" t="str">
        <f>HYPERLINK("https://modify.by/img/424694452/1.webp","фото")</f>
        <v>фото</v>
      </c>
      <c r="R1434" s="3" t="str">
        <f>HYPERLINK("https://modify.by/catalog/skaterti/424694452/?utm_source=price&amp;utm_medium=xlsx","открыть")</f>
        <v>открыть</v>
      </c>
    </row>
    <row r="1435">
      <c r="A1435"/>
      <c r="B1435" t="inlineStr">
        <is>
          <t xml:space="preserve">Скатерти</t>
        </is>
      </c>
      <c r="C1435" t="inlineStr">
        <is>
          <t xml:space="preserve">Скатерть вязаная кружевная 120х120</t>
        </is>
      </c>
      <c r="D1435" t="inlineStr">
        <is>
          <t xml:space="preserve">T3TC202шампань120х120</t>
        </is>
      </c>
      <c r="E1435" t="inlineStr">
        <is>
          <t xml:space="preserve">шампань</t>
        </is>
      </c>
      <c r="F1435" t="inlineStr">
        <is>
          <t xml:space="preserve">0</t>
        </is>
      </c>
      <c r="G1435">
        <v>15</v>
      </c>
      <c r="H1435" s="2">
        <v>162.8</v>
      </c>
      <c r="I1435"/>
      <c r="J1435"/>
      <c r="K1435" t="inlineStr">
        <is>
          <t xml:space="preserve">Китай</t>
        </is>
      </c>
      <c r="L1435" t="inlineStr">
        <is>
          <t xml:space="preserve">6302510009</t>
        </is>
      </c>
      <c r="M1435" t="inlineStr">
        <is>
          <t xml:space="preserve">Декларация № ЕАЭС N RU Д-CN.РА04.В.43957/24, до 19.05.2029</t>
        </is>
      </c>
      <c r="N1435" t="inlineStr">
        <is>
          <t xml:space="preserve">30 × 19 × 8</t>
        </is>
      </c>
      <c r="O1435" t="inlineStr">
        <is>
          <t xml:space="preserve">0,46</t>
        </is>
      </c>
      <c r="P1435" t="inlineStr">
        <is>
          <t xml:space="preserve">4816148150691</t>
        </is>
      </c>
      <c r="Q1435" s="3" t="str">
        <f>HYPERLINK("https://modify.by/img/275583008/1.webp","фото")</f>
        <v>фото</v>
      </c>
      <c r="R1435" s="3" t="str">
        <f>HYPERLINK("https://modify.by/catalog/skaterti/275583008/?utm_source=price&amp;utm_medium=xlsx","открыть")</f>
        <v>открыть</v>
      </c>
    </row>
    <row r="1436">
      <c r="A1436"/>
      <c r="B1436" t="inlineStr">
        <is>
          <t xml:space="preserve">Скатерти</t>
        </is>
      </c>
      <c r="C1436" t="inlineStr">
        <is>
          <t xml:space="preserve">Скатерть вязаная кружевная 135*135см</t>
        </is>
      </c>
      <c r="D1436" t="inlineStr">
        <is>
          <t xml:space="preserve">T3TC202молочный135*135</t>
        </is>
      </c>
      <c r="E1436" t="inlineStr">
        <is>
          <t xml:space="preserve">молочный</t>
        </is>
      </c>
      <c r="F1436" t="inlineStr">
        <is>
          <t xml:space="preserve">0</t>
        </is>
      </c>
      <c r="G1436">
        <v>27</v>
      </c>
      <c r="H1436" s="2">
        <v>122.1</v>
      </c>
      <c r="I1436"/>
      <c r="J1436"/>
      <c r="K1436"/>
      <c r="L1436" t="inlineStr">
        <is>
          <t xml:space="preserve">6302539000</t>
        </is>
      </c>
      <c r="M1436" t="inlineStr">
        <is>
          <t xml:space="preserve">Декларация № ЕАЭС N RU Д-CN.РА04.В.43957/24, до 19.05.2029</t>
        </is>
      </c>
      <c r="N1436" t="inlineStr">
        <is>
          <t xml:space="preserve">35 × 27 × 3</t>
        </is>
      </c>
      <c r="O1436" t="inlineStr">
        <is>
          <t xml:space="preserve">0,49</t>
        </is>
      </c>
      <c r="P1436" t="inlineStr">
        <is>
          <t xml:space="preserve">4816148165510</t>
        </is>
      </c>
      <c r="Q1436" s="3" t="str">
        <f>HYPERLINK("https://modify.by/img/406062612/1.webp","фото")</f>
        <v>фото</v>
      </c>
      <c r="R1436" s="3" t="str">
        <f>HYPERLINK("https://modify.by/catalog/skaterti/406062612/?utm_source=price&amp;utm_medium=xlsx","открыть")</f>
        <v>открыть</v>
      </c>
    </row>
    <row r="1437">
      <c r="A1437"/>
      <c r="B1437" t="inlineStr">
        <is>
          <t xml:space="preserve">Скатерти</t>
        </is>
      </c>
      <c r="C1437" t="inlineStr">
        <is>
          <t xml:space="preserve">Скатерть вязаная кружевная 150*150 см</t>
        </is>
      </c>
      <c r="D1437" t="inlineStr">
        <is>
          <t xml:space="preserve">T3TC202молочный</t>
        </is>
      </c>
      <c r="E1437" t="inlineStr">
        <is>
          <t xml:space="preserve">белый песок, молочный, светло-бежевый</t>
        </is>
      </c>
      <c r="F1437" t="inlineStr">
        <is>
          <t xml:space="preserve">0</t>
        </is>
      </c>
      <c r="G1437">
        <v>25</v>
      </c>
      <c r="H1437" s="2">
        <v>136.9</v>
      </c>
      <c r="I1437"/>
      <c r="J1437"/>
      <c r="K1437" t="inlineStr">
        <is>
          <t xml:space="preserve">Китай</t>
        </is>
      </c>
      <c r="L1437" t="inlineStr">
        <is>
          <t xml:space="preserve">6302539000</t>
        </is>
      </c>
      <c r="M1437" t="inlineStr">
        <is>
          <t xml:space="preserve">Декларация № ЕАЭС N RU Д-CN.РА04.В.43957/24, до 19.05.2029</t>
        </is>
      </c>
      <c r="N1437" t="inlineStr">
        <is>
          <t xml:space="preserve">37 × 26 × 3</t>
        </is>
      </c>
      <c r="O1437" t="inlineStr">
        <is>
          <t xml:space="preserve">0,6</t>
        </is>
      </c>
      <c r="P1437" t="inlineStr">
        <is>
          <t xml:space="preserve">4816148150486</t>
        </is>
      </c>
      <c r="Q1437" s="3" t="str">
        <f>HYPERLINK("https://modify.by/img/239190703/1.webp","фото")</f>
        <v>фото</v>
      </c>
      <c r="R1437" s="3" t="str">
        <f>HYPERLINK("https://modify.by/catalog/skaterti/239190703/?utm_source=price&amp;utm_medium=xlsx","открыть")</f>
        <v>открыть</v>
      </c>
    </row>
    <row r="1438">
      <c r="A1438"/>
      <c r="B1438" t="inlineStr">
        <is>
          <t xml:space="preserve">Скатерти</t>
        </is>
      </c>
      <c r="C1438" t="inlineStr">
        <is>
          <t xml:space="preserve">Скатерть вязаная кружевная 150х150</t>
        </is>
      </c>
      <c r="D1438" t="inlineStr">
        <is>
          <t xml:space="preserve">T3TC202шампань150х150</t>
        </is>
      </c>
      <c r="E1438" t="inlineStr">
        <is>
          <t xml:space="preserve">шампань</t>
        </is>
      </c>
      <c r="F1438" t="inlineStr">
        <is>
          <t xml:space="preserve">0</t>
        </is>
      </c>
      <c r="G1438">
        <v>25</v>
      </c>
      <c r="H1438" s="2">
        <v>162.8</v>
      </c>
      <c r="I1438"/>
      <c r="J1438"/>
      <c r="K1438" t="inlineStr">
        <is>
          <t xml:space="preserve">Китай</t>
        </is>
      </c>
      <c r="L1438" t="inlineStr">
        <is>
          <t xml:space="preserve">6302510009</t>
        </is>
      </c>
      <c r="M1438" t="inlineStr">
        <is>
          <t xml:space="preserve">Декларация № ЕАЭС N RU Д-CN.РА04.В.43957/24, до 19.05.2029</t>
        </is>
      </c>
      <c r="N1438" t="inlineStr">
        <is>
          <t xml:space="preserve">37 × 33 × 4</t>
        </is>
      </c>
      <c r="O1438" t="inlineStr">
        <is>
          <t xml:space="preserve">0,65</t>
        </is>
      </c>
      <c r="P1438" t="inlineStr">
        <is>
          <t xml:space="preserve">4816148150707</t>
        </is>
      </c>
      <c r="Q1438" s="3" t="str">
        <f>HYPERLINK("https://modify.by/img/275583009/1.webp","фото")</f>
        <v>фото</v>
      </c>
      <c r="R1438" s="3" t="str">
        <f>HYPERLINK("https://modify.by/catalog/skaterti/275583009/?utm_source=price&amp;utm_medium=xlsx","открыть")</f>
        <v>открыть</v>
      </c>
    </row>
    <row r="1439">
      <c r="A1439"/>
      <c r="B1439" t="inlineStr">
        <is>
          <t xml:space="preserve">Скатерти</t>
        </is>
      </c>
      <c r="C1439" t="inlineStr">
        <is>
          <t xml:space="preserve">Скатерть вязаная кружевная 180х180</t>
        </is>
      </c>
      <c r="D1439" t="inlineStr">
        <is>
          <t xml:space="preserve">T3TC202жемчужно белый180х180</t>
        </is>
      </c>
      <c r="E1439" t="inlineStr">
        <is>
          <t xml:space="preserve">жемчужно-белый</t>
        </is>
      </c>
      <c r="F1439" t="inlineStr">
        <is>
          <t xml:space="preserve">0</t>
        </is>
      </c>
      <c r="G1439">
        <v>14</v>
      </c>
      <c r="H1439" s="2">
        <v>162.8</v>
      </c>
      <c r="I1439"/>
      <c r="J1439"/>
      <c r="K1439" t="inlineStr">
        <is>
          <t xml:space="preserve">Китай</t>
        </is>
      </c>
      <c r="L1439" t="inlineStr">
        <is>
          <t xml:space="preserve">6302510009</t>
        </is>
      </c>
      <c r="M1439" t="inlineStr">
        <is>
          <t xml:space="preserve">Декларация № ЕАЭС N RU Д-CN.РА04.В.43957/24, до 19.05.2029</t>
        </is>
      </c>
      <c r="N1439" t="inlineStr">
        <is>
          <t xml:space="preserve">31 × 25 × 4</t>
        </is>
      </c>
      <c r="O1439" t="inlineStr">
        <is>
          <t xml:space="preserve">0,56</t>
        </is>
      </c>
      <c r="P1439" t="inlineStr">
        <is>
          <t xml:space="preserve">4816148150431</t>
        </is>
      </c>
      <c r="Q1439" s="3" t="str">
        <f>HYPERLINK("https://modify.by/img/275582999/1.webp","фото")</f>
        <v>фото</v>
      </c>
      <c r="R1439" s="3" t="str">
        <f>HYPERLINK("https://modify.by/catalog/skaterti/275582999/?utm_source=price&amp;utm_medium=xlsx","открыть")</f>
        <v>открыть</v>
      </c>
    </row>
    <row r="1440">
      <c r="A1440"/>
      <c r="B1440" t="inlineStr">
        <is>
          <t xml:space="preserve">Скатерти</t>
        </is>
      </c>
      <c r="C1440" t="inlineStr">
        <is>
          <t xml:space="preserve">Скатерть на стол кружевная хлопок вязаная бохо 100х100 см</t>
        </is>
      </c>
      <c r="D1440" t="inlineStr">
        <is>
          <t xml:space="preserve">T3TC202шампань_100*100</t>
        </is>
      </c>
      <c r="E1440" t="inlineStr">
        <is>
          <t xml:space="preserve">топленое молоко, теплый бежевый</t>
        </is>
      </c>
      <c r="F1440" t="inlineStr">
        <is>
          <t xml:space="preserve">0</t>
        </is>
      </c>
      <c r="G1440">
        <v>39</v>
      </c>
      <c r="H1440" s="2">
        <v>38.0</v>
      </c>
      <c r="I1440"/>
      <c r="J1440"/>
      <c r="K1440" t="inlineStr">
        <is>
          <t xml:space="preserve">Китай</t>
        </is>
      </c>
      <c r="L1440" t="inlineStr">
        <is>
          <t xml:space="preserve">6302539000</t>
        </is>
      </c>
      <c r="M1440" t="inlineStr">
        <is>
          <t xml:space="preserve">по запросу</t>
        </is>
      </c>
      <c r="N1440" t="inlineStr">
        <is>
          <t xml:space="preserve">25 × 15 × 8</t>
        </is>
      </c>
      <c r="O1440" t="inlineStr">
        <is>
          <t xml:space="preserve">0,33</t>
        </is>
      </c>
      <c r="P1440" t="inlineStr">
        <is>
          <t xml:space="preserve">4816148182326</t>
        </is>
      </c>
      <c r="Q1440" s="3" t="str">
        <f>HYPERLINK("https://modify.by/img/1183501820/1.webp","фото")</f>
        <v>фото</v>
      </c>
      <c r="R1440" s="3" t="str">
        <f>HYPERLINK("https://modify.by/catalog/skaterti/1183501820/?utm_source=price&amp;utm_medium=xlsx","открыть")</f>
        <v>открыть</v>
      </c>
    </row>
    <row r="1441">
      <c r="A1441"/>
      <c r="B1441" t="inlineStr">
        <is>
          <t xml:space="preserve">Скатерти</t>
        </is>
      </c>
      <c r="C1441" t="inlineStr">
        <is>
          <t xml:space="preserve">Скатерть на стол кружевная хлопок вязаная бохо 85х85</t>
        </is>
      </c>
      <c r="D1441" t="inlineStr">
        <is>
          <t xml:space="preserve">T3TC202_молочный_85*85</t>
        </is>
      </c>
      <c r="E1441" t="inlineStr">
        <is>
          <t xml:space="preserve">молочный, бежевый, топленое молоко</t>
        </is>
      </c>
      <c r="F1441" t="inlineStr">
        <is>
          <t xml:space="preserve">0</t>
        </is>
      </c>
      <c r="G1441">
        <v>1</v>
      </c>
      <c r="H1441" s="2">
        <v>37.0</v>
      </c>
      <c r="I1441"/>
      <c r="J1441"/>
      <c r="K1441" t="inlineStr">
        <is>
          <t xml:space="preserve">Китай</t>
        </is>
      </c>
      <c r="L1441" t="inlineStr">
        <is>
          <t xml:space="preserve">6302539000</t>
        </is>
      </c>
      <c r="M1441" t="inlineStr">
        <is>
          <t xml:space="preserve">Декларация № ЕАЭС N RU Д-CN.РА04.В.43957/24, до 19.05.2029</t>
        </is>
      </c>
      <c r="N1441" t="inlineStr">
        <is>
          <t xml:space="preserve">25 × 15 × 6</t>
        </is>
      </c>
      <c r="O1441" t="inlineStr">
        <is>
          <t xml:space="preserve">0,25</t>
        </is>
      </c>
      <c r="P1441" t="inlineStr">
        <is>
          <t xml:space="preserve">4816148182302</t>
        </is>
      </c>
      <c r="Q1441" s="3" t="str">
        <f>HYPERLINK("https://modify.by/img/1182883914/1.webp","фото")</f>
        <v>фото</v>
      </c>
      <c r="R1441" s="3" t="str">
        <f>HYPERLINK("https://modify.by/catalog/skaterti/1182883914/?utm_source=price&amp;utm_medium=xlsx","открыть")</f>
        <v>открыть</v>
      </c>
    </row>
    <row r="1442">
      <c r="A1442"/>
      <c r="B1442" t="inlineStr">
        <is>
          <t xml:space="preserve">Скатерти</t>
        </is>
      </c>
      <c r="C1442" t="inlineStr">
        <is>
          <t xml:space="preserve">Скатерть на стол кружевная хлопок вязаная бохо 85х85 см</t>
        </is>
      </c>
      <c r="D1442" t="inlineStr">
        <is>
          <t xml:space="preserve">T3TC202шампань_85*85</t>
        </is>
      </c>
      <c r="E1442" t="inlineStr">
        <is>
          <t xml:space="preserve">топленое молоко, теплый бежевый</t>
        </is>
      </c>
      <c r="F1442" t="inlineStr">
        <is>
          <t xml:space="preserve">0</t>
        </is>
      </c>
      <c r="G1442">
        <v>28</v>
      </c>
      <c r="H1442" s="2">
        <v>35.0</v>
      </c>
      <c r="I1442"/>
      <c r="J1442"/>
      <c r="K1442" t="inlineStr">
        <is>
          <t xml:space="preserve">Китай</t>
        </is>
      </c>
      <c r="L1442" t="inlineStr">
        <is>
          <t xml:space="preserve">6302539000</t>
        </is>
      </c>
      <c r="M1442" t="inlineStr">
        <is>
          <t xml:space="preserve">по запросу</t>
        </is>
      </c>
      <c r="N1442" t="inlineStr">
        <is>
          <t xml:space="preserve">25 × 15 × 6</t>
        </is>
      </c>
      <c r="O1442" t="inlineStr">
        <is>
          <t xml:space="preserve">0,25</t>
        </is>
      </c>
      <c r="P1442" t="inlineStr">
        <is>
          <t xml:space="preserve">4816148182319</t>
        </is>
      </c>
      <c r="Q1442" s="3" t="str">
        <f>HYPERLINK("https://modify.by/img/1183375955/1.webp","фото")</f>
        <v>фото</v>
      </c>
      <c r="R1442" s="3" t="str">
        <f>HYPERLINK("https://modify.by/catalog/skaterti/1183375955/?utm_source=price&amp;utm_medium=xlsx","открыть")</f>
        <v>открыть</v>
      </c>
    </row>
    <row r="1443">
      <c r="A1443"/>
      <c r="B1443" t="inlineStr">
        <is>
          <t xml:space="preserve">Скатерти</t>
        </is>
      </c>
      <c r="C1443" t="inlineStr">
        <is>
          <t xml:space="preserve">Скатерть текстильная кружевная 100*100см</t>
        </is>
      </c>
      <c r="D1443" t="inlineStr">
        <is>
          <t xml:space="preserve">T3TC202молочный100*100</t>
        </is>
      </c>
      <c r="E1443" t="inlineStr">
        <is>
          <t xml:space="preserve">молочный, бежевый, топленое молоко</t>
        </is>
      </c>
      <c r="F1443" t="inlineStr">
        <is>
          <t xml:space="preserve">0</t>
        </is>
      </c>
      <c r="G1443">
        <v>1</v>
      </c>
      <c r="H1443" s="2">
        <v>98.05</v>
      </c>
      <c r="I1443"/>
      <c r="J1443"/>
      <c r="K1443" t="inlineStr">
        <is>
          <t xml:space="preserve">Китай</t>
        </is>
      </c>
      <c r="L1443" t="inlineStr">
        <is>
          <t xml:space="preserve">6302539000</t>
        </is>
      </c>
      <c r="M1443" t="inlineStr">
        <is>
          <t xml:space="preserve">Декларация № ЕАЭС N RU Д-CN.РА04.В.43957/24, до 19.05.2029</t>
        </is>
      </c>
      <c r="N1443" t="inlineStr">
        <is>
          <t xml:space="preserve">25 × 15 × 7</t>
        </is>
      </c>
      <c r="O1443" t="inlineStr">
        <is>
          <t xml:space="preserve">0,35</t>
        </is>
      </c>
      <c r="P1443" t="inlineStr">
        <is>
          <t xml:space="preserve">4816148165527</t>
        </is>
      </c>
      <c r="Q1443" s="3" t="str">
        <f>HYPERLINK("https://modify.by/img/406062618/1.webp","фото")</f>
        <v>фото</v>
      </c>
      <c r="R1443" s="3" t="str">
        <f>HYPERLINK("https://modify.by/catalog/skaterti/406062618/?utm_source=price&amp;utm_medium=xlsx","открыть")</f>
        <v>открыть</v>
      </c>
    </row>
    <row r="1444">
      <c r="A1444" t="inlineStr">
        <is>
          <t xml:space="preserve">Детский</t>
        </is>
      </c>
      <c r="B1444" t="inlineStr">
        <is>
          <t xml:space="preserve">Тапочки</t>
        </is>
      </c>
      <c r="C1444" t="inlineStr">
        <is>
          <t xml:space="preserve">Тапочки Сабо резиновые Мюли летние из ЭВА, белый</t>
        </is>
      </c>
      <c r="D1444" t="inlineStr">
        <is>
          <t xml:space="preserve">609белый36</t>
        </is>
      </c>
      <c r="E1444" t="inlineStr">
        <is>
          <t xml:space="preserve">слоновая кость, белый</t>
        </is>
      </c>
      <c r="F1444" t="inlineStr">
        <is>
          <t xml:space="preserve">36</t>
        </is>
      </c>
      <c r="G1444">
        <v>30</v>
      </c>
      <c r="H1444" s="2">
        <v>23.0</v>
      </c>
      <c r="I1444" t="inlineStr">
        <is>
          <t xml:space="preserve">ПВХ 100%</t>
        </is>
      </c>
      <c r="J1444" t="inlineStr">
        <is>
          <t xml:space="preserve">круглогодичный</t>
        </is>
      </c>
      <c r="K1444" t="inlineStr">
        <is>
          <t xml:space="preserve">Китай</t>
        </is>
      </c>
      <c r="L1444" t="inlineStr">
        <is>
          <t xml:space="preserve">6401990000</t>
        </is>
      </c>
      <c r="M1444" t="inlineStr">
        <is>
          <t xml:space="preserve">по запросу</t>
        </is>
      </c>
      <c r="N1444" t="inlineStr">
        <is>
          <t xml:space="preserve">25 × 20 × 6</t>
        </is>
      </c>
      <c r="O1444" t="inlineStr">
        <is>
          <t xml:space="preserve">0,33</t>
        </is>
      </c>
      <c r="P1444" t="inlineStr">
        <is>
          <t xml:space="preserve">2038096206530</t>
        </is>
      </c>
      <c r="Q1444" s="3" t="str">
        <f>HYPERLINK("https://modify.by/img/227804005/1.webp","фото")</f>
        <v>фото</v>
      </c>
      <c r="R1444" s="3" t="str">
        <f>HYPERLINK("https://modify.by/catalog/tapochki/227804005/?utm_source=price&amp;utm_medium=xlsx","открыть")</f>
        <v>открыть</v>
      </c>
    </row>
    <row r="1445">
      <c r="A1445" t="inlineStr">
        <is>
          <t xml:space="preserve">Детский</t>
        </is>
      </c>
      <c r="B1445" t="inlineStr">
        <is>
          <t xml:space="preserve">Тапочки</t>
        </is>
      </c>
      <c r="C1445" t="inlineStr">
        <is>
          <t xml:space="preserve">Тапочки Сабо резиновые Мюли летние из ЭВА, белый</t>
        </is>
      </c>
      <c r="D1445" t="inlineStr">
        <is>
          <t xml:space="preserve">609белый36</t>
        </is>
      </c>
      <c r="E1445" t="inlineStr">
        <is>
          <t xml:space="preserve">слоновая кость, белый</t>
        </is>
      </c>
      <c r="F1445" t="inlineStr">
        <is>
          <t xml:space="preserve">38</t>
        </is>
      </c>
      <c r="G1445">
        <v>67</v>
      </c>
      <c r="H1445" s="2">
        <v>23.0</v>
      </c>
      <c r="I1445" t="inlineStr">
        <is>
          <t xml:space="preserve">ПВХ 100%</t>
        </is>
      </c>
      <c r="J1445" t="inlineStr">
        <is>
          <t xml:space="preserve">круглогодичный</t>
        </is>
      </c>
      <c r="K1445" t="inlineStr">
        <is>
          <t xml:space="preserve">Китай</t>
        </is>
      </c>
      <c r="L1445" t="inlineStr">
        <is>
          <t xml:space="preserve">6401990000</t>
        </is>
      </c>
      <c r="M1445" t="inlineStr">
        <is>
          <t xml:space="preserve">по запросу</t>
        </is>
      </c>
      <c r="N1445" t="inlineStr">
        <is>
          <t xml:space="preserve">25 × 20 × 6</t>
        </is>
      </c>
      <c r="O1445" t="inlineStr">
        <is>
          <t xml:space="preserve">0,33</t>
        </is>
      </c>
      <c r="P1445" t="inlineStr">
        <is>
          <t xml:space="preserve">2038096206547</t>
        </is>
      </c>
      <c r="Q1445" s="3" t="str">
        <f>HYPERLINK("https://modify.by/img/227804005/1.webp","фото")</f>
        <v>фото</v>
      </c>
      <c r="R1445" s="3" t="str">
        <f>HYPERLINK("https://modify.by/catalog/tapochki/227804005/?utm_source=price&amp;utm_medium=xlsx","открыть")</f>
        <v>открыть</v>
      </c>
    </row>
    <row r="1446">
      <c r="A1446" t="inlineStr">
        <is>
          <t xml:space="preserve">Детский</t>
        </is>
      </c>
      <c r="B1446" t="inlineStr">
        <is>
          <t xml:space="preserve">Тапочки</t>
        </is>
      </c>
      <c r="C1446" t="inlineStr">
        <is>
          <t xml:space="preserve">Тапочки Сабо резиновые Мюли летние из ЭВА, коричневый</t>
        </is>
      </c>
      <c r="D1446" t="inlineStr">
        <is>
          <t xml:space="preserve">609коричневый36</t>
        </is>
      </c>
      <c r="E1446" t="inlineStr">
        <is>
          <t xml:space="preserve">слоновая кость, коричневый</t>
        </is>
      </c>
      <c r="F1446" t="inlineStr">
        <is>
          <t xml:space="preserve">36</t>
        </is>
      </c>
      <c r="G1446">
        <v>20</v>
      </c>
      <c r="H1446" s="2">
        <v>23.0</v>
      </c>
      <c r="I1446" t="inlineStr">
        <is>
          <t xml:space="preserve">ПВХ 100%</t>
        </is>
      </c>
      <c r="J1446" t="inlineStr">
        <is>
          <t xml:space="preserve">круглогодичный</t>
        </is>
      </c>
      <c r="K1446" t="inlineStr">
        <is>
          <t xml:space="preserve">Китай</t>
        </is>
      </c>
      <c r="L1446" t="inlineStr">
        <is>
          <t xml:space="preserve">6401990000</t>
        </is>
      </c>
      <c r="M1446" t="inlineStr">
        <is>
          <t xml:space="preserve">по запросу</t>
        </is>
      </c>
      <c r="N1446" t="inlineStr">
        <is>
          <t xml:space="preserve">25 × 20 × 6</t>
        </is>
      </c>
      <c r="O1446" t="inlineStr">
        <is>
          <t xml:space="preserve">0,33</t>
        </is>
      </c>
      <c r="P1446" t="inlineStr">
        <is>
          <t xml:space="preserve">2038096206554</t>
        </is>
      </c>
      <c r="Q1446" s="3" t="str">
        <f>HYPERLINK("https://modify.by/img/227803974/1.webp","фото")</f>
        <v>фото</v>
      </c>
      <c r="R1446" s="3" t="str">
        <f>HYPERLINK("https://modify.by/catalog/tapochki/227803974/?utm_source=price&amp;utm_medium=xlsx","открыть")</f>
        <v>открыть</v>
      </c>
    </row>
    <row r="1447">
      <c r="A1447" t="inlineStr">
        <is>
          <t xml:space="preserve">Детский</t>
        </is>
      </c>
      <c r="B1447" t="inlineStr">
        <is>
          <t xml:space="preserve">Тапочки</t>
        </is>
      </c>
      <c r="C1447" t="inlineStr">
        <is>
          <t xml:space="preserve">Тапочки Сабо резиновые Мюли летние из ЭВА, коричневый</t>
        </is>
      </c>
      <c r="D1447" t="inlineStr">
        <is>
          <t xml:space="preserve">609коричневый36</t>
        </is>
      </c>
      <c r="E1447" t="inlineStr">
        <is>
          <t xml:space="preserve">слоновая кость, коричневый</t>
        </is>
      </c>
      <c r="F1447" t="inlineStr">
        <is>
          <t xml:space="preserve">38</t>
        </is>
      </c>
      <c r="G1447">
        <v>43</v>
      </c>
      <c r="H1447" s="2">
        <v>23.0</v>
      </c>
      <c r="I1447" t="inlineStr">
        <is>
          <t xml:space="preserve">ПВХ 100%</t>
        </is>
      </c>
      <c r="J1447" t="inlineStr">
        <is>
          <t xml:space="preserve">круглогодичный</t>
        </is>
      </c>
      <c r="K1447" t="inlineStr">
        <is>
          <t xml:space="preserve">Китай</t>
        </is>
      </c>
      <c r="L1447" t="inlineStr">
        <is>
          <t xml:space="preserve">6401990000</t>
        </is>
      </c>
      <c r="M1447" t="inlineStr">
        <is>
          <t xml:space="preserve">по запросу</t>
        </is>
      </c>
      <c r="N1447" t="inlineStr">
        <is>
          <t xml:space="preserve">25 × 20 × 6</t>
        </is>
      </c>
      <c r="O1447" t="inlineStr">
        <is>
          <t xml:space="preserve">0,33</t>
        </is>
      </c>
      <c r="P1447" t="inlineStr">
        <is>
          <t xml:space="preserve">4816148100276</t>
        </is>
      </c>
      <c r="Q1447" s="3" t="str">
        <f>HYPERLINK("https://modify.by/img/227803974/1.webp","фото")</f>
        <v>фото</v>
      </c>
      <c r="R1447" s="3" t="str">
        <f>HYPERLINK("https://modify.by/catalog/tapochki/227803974/?utm_source=price&amp;utm_medium=xlsx","открыть")</f>
        <v>открыть</v>
      </c>
    </row>
    <row r="1448">
      <c r="A1448" t="inlineStr">
        <is>
          <t xml:space="preserve">Детский</t>
        </is>
      </c>
      <c r="B1448" t="inlineStr">
        <is>
          <t xml:space="preserve">Тапочки</t>
        </is>
      </c>
      <c r="C1448" t="inlineStr">
        <is>
          <t xml:space="preserve">Тапочки Сабо резиновые Мюли летние из ЭВА, черный</t>
        </is>
      </c>
      <c r="D1448" t="inlineStr">
        <is>
          <t xml:space="preserve">609черный36</t>
        </is>
      </c>
      <c r="E1448" t="inlineStr">
        <is>
          <t xml:space="preserve">слоновая кость, черный</t>
        </is>
      </c>
      <c r="F1448" t="inlineStr">
        <is>
          <t xml:space="preserve">36</t>
        </is>
      </c>
      <c r="G1448">
        <v>54</v>
      </c>
      <c r="H1448" s="2">
        <v>23.0</v>
      </c>
      <c r="I1448" t="inlineStr">
        <is>
          <t xml:space="preserve">ПВХ 100%</t>
        </is>
      </c>
      <c r="J1448" t="inlineStr">
        <is>
          <t xml:space="preserve">круглогодичный</t>
        </is>
      </c>
      <c r="K1448" t="inlineStr">
        <is>
          <t xml:space="preserve">Китай</t>
        </is>
      </c>
      <c r="L1448" t="inlineStr">
        <is>
          <t xml:space="preserve">6401990000</t>
        </is>
      </c>
      <c r="M1448" t="inlineStr">
        <is>
          <t xml:space="preserve">по запросу</t>
        </is>
      </c>
      <c r="N1448" t="inlineStr">
        <is>
          <t xml:space="preserve">25 × 20 × 6</t>
        </is>
      </c>
      <c r="O1448" t="inlineStr">
        <is>
          <t xml:space="preserve">0,33</t>
        </is>
      </c>
      <c r="P1448" t="inlineStr">
        <is>
          <t xml:space="preserve">4816148100283</t>
        </is>
      </c>
      <c r="Q1448" s="3" t="str">
        <f>HYPERLINK("https://modify.by/img/227804009/1.webp","фото")</f>
        <v>фото</v>
      </c>
      <c r="R1448" s="3" t="str">
        <f>HYPERLINK("https://modify.by/catalog/tapochki/227804009/?utm_source=price&amp;utm_medium=xlsx","открыть")</f>
        <v>открыть</v>
      </c>
    </row>
    <row r="1449">
      <c r="A1449" t="inlineStr">
        <is>
          <t xml:space="preserve">Детский</t>
        </is>
      </c>
      <c r="B1449" t="inlineStr">
        <is>
          <t xml:space="preserve">Тапочки</t>
        </is>
      </c>
      <c r="C1449" t="inlineStr">
        <is>
          <t xml:space="preserve">Тапочки Сабо резиновые Мюли летние из ЭВА, черный</t>
        </is>
      </c>
      <c r="D1449" t="inlineStr">
        <is>
          <t xml:space="preserve">609черный36</t>
        </is>
      </c>
      <c r="E1449" t="inlineStr">
        <is>
          <t xml:space="preserve">слоновая кость, черный</t>
        </is>
      </c>
      <c r="F1449" t="inlineStr">
        <is>
          <t xml:space="preserve">38</t>
        </is>
      </c>
      <c r="G1449">
        <v>47</v>
      </c>
      <c r="H1449" s="2">
        <v>23.0</v>
      </c>
      <c r="I1449" t="inlineStr">
        <is>
          <t xml:space="preserve">ПВХ 100%</t>
        </is>
      </c>
      <c r="J1449" t="inlineStr">
        <is>
          <t xml:space="preserve">круглогодичный</t>
        </is>
      </c>
      <c r="K1449" t="inlineStr">
        <is>
          <t xml:space="preserve">Китай</t>
        </is>
      </c>
      <c r="L1449" t="inlineStr">
        <is>
          <t xml:space="preserve">6401990000</t>
        </is>
      </c>
      <c r="M1449" t="inlineStr">
        <is>
          <t xml:space="preserve">по запросу</t>
        </is>
      </c>
      <c r="N1449" t="inlineStr">
        <is>
          <t xml:space="preserve">25 × 20 × 6</t>
        </is>
      </c>
      <c r="O1449" t="inlineStr">
        <is>
          <t xml:space="preserve">0,33</t>
        </is>
      </c>
      <c r="P1449" t="inlineStr">
        <is>
          <t xml:space="preserve">2038096206561</t>
        </is>
      </c>
      <c r="Q1449" s="3" t="str">
        <f>HYPERLINK("https://modify.by/img/227804009/1.webp","фото")</f>
        <v>фото</v>
      </c>
      <c r="R1449" s="3" t="str">
        <f>HYPERLINK("https://modify.by/catalog/tapochki/227804009/?utm_source=price&amp;utm_medium=xlsx","открыть")</f>
        <v>открыть</v>
      </c>
    </row>
  </sheetData>
  <autoFilter ref="A1:R1449"/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07"/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44" customWidth="1"/>
    <col min="4" max="4" width="20" customWidth="1"/>
    <col min="5" max="5" width="16" customWidth="1"/>
    <col min="6" max="6" width="12" customWidth="1"/>
    <col min="7" max="7" width="11" customWidth="1"/>
    <col min="8" max="8" width="14" customWidth="1"/>
    <col min="9" max="9" width="26" customWidth="1"/>
    <col min="10" max="10" width="14" customWidth="1"/>
    <col min="11" max="11" width="13" customWidth="1"/>
    <col min="12" max="12" width="13" customWidth="1"/>
    <col min="13" max="13" width="34" customWidth="1"/>
    <col min="14" max="14" width="20" customWidth="1"/>
    <col min="15" max="15" width="9" customWidth="1"/>
    <col min="16" max="16" width="16" customWidth="1"/>
    <col min="17" max="17" width="8" customWidth="1"/>
    <col min="18" max="18" width="10" customWidth="1"/>
  </cols>
  <sheetData>
    <row r="1">
      <c r="A1" s="1" t="inlineStr">
        <is>
          <t xml:space="preserve">Пол</t>
        </is>
      </c>
      <c r="B1" s="1" t="inlineStr">
        <is>
          <t xml:space="preserve">Категория</t>
        </is>
      </c>
      <c r="C1" s="1" t="inlineStr">
        <is>
          <t xml:space="preserve">Модель</t>
        </is>
      </c>
      <c r="D1" s="1" t="inlineStr">
        <is>
          <t xml:space="preserve">Артикул</t>
        </is>
      </c>
      <c r="E1" s="1" t="inlineStr">
        <is>
          <t xml:space="preserve">Цвет</t>
        </is>
      </c>
      <c r="F1" s="1" t="inlineStr">
        <is>
          <t xml:space="preserve">Размер</t>
        </is>
      </c>
      <c r="G1" s="1" t="inlineStr">
        <is>
          <t xml:space="preserve">Остаток, шт</t>
        </is>
      </c>
      <c r="H1" s="1" t="inlineStr">
        <is>
          <t xml:space="preserve">Цена, BYN с НДС</t>
        </is>
      </c>
      <c r="I1" s="1" t="inlineStr">
        <is>
          <t xml:space="preserve">Состав</t>
        </is>
      </c>
      <c r="J1" s="1" t="inlineStr">
        <is>
          <t xml:space="preserve">Сезон</t>
        </is>
      </c>
      <c r="K1" s="1" t="inlineStr">
        <is>
          <t xml:space="preserve">Страна</t>
        </is>
      </c>
      <c r="L1" s="1" t="inlineStr">
        <is>
          <t xml:space="preserve">ТН ВЭД</t>
        </is>
      </c>
      <c r="M1" s="1" t="inlineStr">
        <is>
          <t xml:space="preserve">Декларация / сертификат</t>
        </is>
      </c>
      <c r="N1" s="1" t="inlineStr">
        <is>
          <t xml:space="preserve">Упаковка, см (Д×Ш×В)</t>
        </is>
      </c>
      <c r="O1" s="1" t="inlineStr">
        <is>
          <t xml:space="preserve">Вес, кг</t>
        </is>
      </c>
      <c r="P1" s="1" t="inlineStr">
        <is>
          <t xml:space="preserve">Штрихкод</t>
        </is>
      </c>
      <c r="Q1" s="1" t="inlineStr">
        <is>
          <t xml:space="preserve">Фото</t>
        </is>
      </c>
      <c r="R1" s="1" t="inlineStr">
        <is>
          <t xml:space="preserve">На сайте</t>
        </is>
      </c>
    </row>
    <row r="2">
      <c r="A2" t="inlineStr">
        <is>
          <t xml:space="preserve">Женский</t>
        </is>
      </c>
      <c r="B2" t="inlineStr">
        <is>
          <t xml:space="preserve">Брюки</t>
        </is>
      </c>
      <c r="C2" t="inlineStr">
        <is>
          <t xml:space="preserve">Бриджи джинсовые белые стрейч летние</t>
        </is>
      </c>
      <c r="D2" t="inlineStr">
        <is>
          <t xml:space="preserve">T2BE42W01_by_белый</t>
        </is>
      </c>
      <c r="E2" t="inlineStr">
        <is>
          <t xml:space="preserve">белый</t>
        </is>
      </c>
      <c r="F2" t="inlineStr">
        <is>
          <t xml:space="preserve">54-56</t>
        </is>
      </c>
      <c r="G2">
        <v>1</v>
      </c>
      <c r="H2" s="2">
        <v>46.0</v>
      </c>
      <c r="I2" t="inlineStr">
        <is>
          <t xml:space="preserve">55% хлопок, 40% ПЭ, 5% спандекс</t>
        </is>
      </c>
      <c r="J2" t="inlineStr">
        <is>
          <t xml:space="preserve">лето</t>
        </is>
      </c>
      <c r="K2" t="inlineStr">
        <is>
          <t xml:space="preserve">Китай</t>
        </is>
      </c>
      <c r="L2" t="inlineStr">
        <is>
          <t xml:space="preserve">6204623100</t>
        </is>
      </c>
      <c r="M2" t="inlineStr">
        <is>
          <t xml:space="preserve">Декларация № ЕАЭС № BY/112 11.01. ТР017 122.01 08246, до 19.04.2028</t>
        </is>
      </c>
      <c r="N2" t="inlineStr">
        <is>
          <t xml:space="preserve">34 × 29 × 3</t>
        </is>
      </c>
      <c r="O2" t="inlineStr">
        <is>
          <t xml:space="preserve">0,55</t>
        </is>
      </c>
      <c r="P2" t="inlineStr">
        <is>
          <t xml:space="preserve">4816148180520</t>
        </is>
      </c>
      <c r="Q2" s="3" t="str">
        <f>HYPERLINK("https://modify.by/img/879953490/1.webp","фото")</f>
        <v>фото</v>
      </c>
      <c r="R2" s="3" t="str">
        <f>HYPERLINK("https://modify.by/catalog/bryuki/879953490/?utm_source=price&amp;utm_medium=xlsx","открыть")</f>
        <v>открыть</v>
      </c>
    </row>
    <row r="3">
      <c r="A3" t="inlineStr">
        <is>
          <t xml:space="preserve">Женский</t>
        </is>
      </c>
      <c r="B3" t="inlineStr">
        <is>
          <t xml:space="preserve">Брюки</t>
        </is>
      </c>
      <c r="C3" t="inlineStr">
        <is>
          <t xml:space="preserve">Бриджи джинсовые белые стрейч летние</t>
        </is>
      </c>
      <c r="D3" t="inlineStr">
        <is>
          <t xml:space="preserve">T2BE42W01_by_белый</t>
        </is>
      </c>
      <c r="E3" t="inlineStr">
        <is>
          <t xml:space="preserve">белый</t>
        </is>
      </c>
      <c r="F3" t="inlineStr">
        <is>
          <t xml:space="preserve">58-60</t>
        </is>
      </c>
      <c r="G3">
        <v>2</v>
      </c>
      <c r="H3" s="2">
        <v>46.0</v>
      </c>
      <c r="I3" t="inlineStr">
        <is>
          <t xml:space="preserve">55% хлопок, 40% ПЭ, 5% спандекс</t>
        </is>
      </c>
      <c r="J3" t="inlineStr">
        <is>
          <t xml:space="preserve">лето</t>
        </is>
      </c>
      <c r="K3" t="inlineStr">
        <is>
          <t xml:space="preserve">Китай</t>
        </is>
      </c>
      <c r="L3" t="inlineStr">
        <is>
          <t xml:space="preserve">6204623100</t>
        </is>
      </c>
      <c r="M3" t="inlineStr">
        <is>
          <t xml:space="preserve">Декларация № ЕАЭС № BY/112 11.01. ТР017 122.01 08246, до 19.04.2028</t>
        </is>
      </c>
      <c r="N3" t="inlineStr">
        <is>
          <t xml:space="preserve">34 × 29 × 3</t>
        </is>
      </c>
      <c r="O3" t="inlineStr">
        <is>
          <t xml:space="preserve">0,55</t>
        </is>
      </c>
      <c r="P3" t="inlineStr">
        <is>
          <t xml:space="preserve">4816148180537</t>
        </is>
      </c>
      <c r="Q3" s="3" t="str">
        <f>HYPERLINK("https://modify.by/img/879953490/1.webp","фото")</f>
        <v>фото</v>
      </c>
      <c r="R3" s="3" t="str">
        <f>HYPERLINK("https://modify.by/catalog/bryuki/879953490/?utm_source=price&amp;utm_medium=xlsx","открыть")</f>
        <v>открыть</v>
      </c>
    </row>
    <row r="4">
      <c r="A4" t="inlineStr">
        <is>
          <t xml:space="preserve">Женский</t>
        </is>
      </c>
      <c r="B4" t="inlineStr">
        <is>
          <t xml:space="preserve">Брюки</t>
        </is>
      </c>
      <c r="C4" t="inlineStr">
        <is>
          <t xml:space="preserve">Бриджи джинсовые стрейч летние</t>
        </is>
      </c>
      <c r="D4" t="inlineStr">
        <is>
          <t xml:space="preserve">T2BE42W01_by_синий</t>
        </is>
      </c>
      <c r="E4" t="inlineStr">
        <is>
          <t xml:space="preserve">синий</t>
        </is>
      </c>
      <c r="F4" t="inlineStr">
        <is>
          <t xml:space="preserve">46</t>
        </is>
      </c>
      <c r="G4">
        <v>3</v>
      </c>
      <c r="H4" s="2">
        <v>46.0</v>
      </c>
      <c r="I4" t="inlineStr">
        <is>
          <t xml:space="preserve">55% хлопок, 40% ПЭ, 5% спандекс</t>
        </is>
      </c>
      <c r="J4" t="inlineStr">
        <is>
          <t xml:space="preserve">лето</t>
        </is>
      </c>
      <c r="K4" t="inlineStr">
        <is>
          <t xml:space="preserve">Китай</t>
        </is>
      </c>
      <c r="L4" t="inlineStr">
        <is>
          <t xml:space="preserve">6204623100</t>
        </is>
      </c>
      <c r="M4" t="inlineStr">
        <is>
          <t xml:space="preserve">Декларация № ЕАЭС № BY/112 11.01. ТР017 122.01 08246, до 19.04.2028</t>
        </is>
      </c>
      <c r="N4" t="inlineStr">
        <is>
          <t xml:space="preserve">34 × 29 × 3</t>
        </is>
      </c>
      <c r="O4" t="inlineStr">
        <is>
          <t xml:space="preserve">0,55</t>
        </is>
      </c>
      <c r="P4" t="inlineStr">
        <is>
          <t xml:space="preserve">4816148180551</t>
        </is>
      </c>
      <c r="Q4" s="3" t="str">
        <f>HYPERLINK("https://modify.by/img/879953491/1.webp","фото")</f>
        <v>фото</v>
      </c>
      <c r="R4" s="3" t="str">
        <f>HYPERLINK("https://modify.by/catalog/bryuki/879953491/?utm_source=price&amp;utm_medium=xlsx","открыть")</f>
        <v>открыть</v>
      </c>
    </row>
    <row r="5">
      <c r="A5" t="inlineStr">
        <is>
          <t xml:space="preserve">Женский</t>
        </is>
      </c>
      <c r="B5" t="inlineStr">
        <is>
          <t xml:space="preserve">Брюки</t>
        </is>
      </c>
      <c r="C5" t="inlineStr">
        <is>
          <t xml:space="preserve">Бриджи джинсовые стрейч летние</t>
        </is>
      </c>
      <c r="D5" t="inlineStr">
        <is>
          <t xml:space="preserve">T2BE42W01_by_синий</t>
        </is>
      </c>
      <c r="E5" t="inlineStr">
        <is>
          <t xml:space="preserve">синий</t>
        </is>
      </c>
      <c r="F5" t="inlineStr">
        <is>
          <t xml:space="preserve">60-62</t>
        </is>
      </c>
      <c r="G5">
        <v>12</v>
      </c>
      <c r="H5" s="2">
        <v>46.0</v>
      </c>
      <c r="I5" t="inlineStr">
        <is>
          <t xml:space="preserve">55% хлопок, 40% ПЭ, 5% спандекс</t>
        </is>
      </c>
      <c r="J5" t="inlineStr">
        <is>
          <t xml:space="preserve">лето</t>
        </is>
      </c>
      <c r="K5" t="inlineStr">
        <is>
          <t xml:space="preserve">Китай</t>
        </is>
      </c>
      <c r="L5" t="inlineStr">
        <is>
          <t xml:space="preserve">6204623100</t>
        </is>
      </c>
      <c r="M5" t="inlineStr">
        <is>
          <t xml:space="preserve">Декларация № ЕАЭС № BY/112 11.01. ТР017 122.01 08246, до 19.04.2028</t>
        </is>
      </c>
      <c r="N5" t="inlineStr">
        <is>
          <t xml:space="preserve">34 × 29 × 3</t>
        </is>
      </c>
      <c r="O5" t="inlineStr">
        <is>
          <t xml:space="preserve">0,55</t>
        </is>
      </c>
      <c r="P5" t="inlineStr">
        <is>
          <t xml:space="preserve">4816148180582</t>
        </is>
      </c>
      <c r="Q5" s="3" t="str">
        <f>HYPERLINK("https://modify.by/img/879953491/1.webp","фото")</f>
        <v>фото</v>
      </c>
      <c r="R5" s="3" t="str">
        <f>HYPERLINK("https://modify.by/catalog/bryuki/879953491/?utm_source=price&amp;utm_medium=xlsx","открыть")</f>
        <v>открыть</v>
      </c>
    </row>
    <row r="6">
      <c r="A6" t="inlineStr">
        <is>
          <t xml:space="preserve">Женский</t>
        </is>
      </c>
      <c r="B6" t="inlineStr">
        <is>
          <t xml:space="preserve">Брюки</t>
        </is>
      </c>
      <c r="C6" t="inlineStr">
        <is>
          <t xml:space="preserve">Бриджи стрейч летние</t>
        </is>
      </c>
      <c r="D6" t="inlineStr">
        <is>
          <t xml:space="preserve">T2BE42W01_by_темно-синий</t>
        </is>
      </c>
      <c r="E6" t="inlineStr">
        <is>
          <t xml:space="preserve">темно-синий, деним</t>
        </is>
      </c>
      <c r="F6" t="inlineStr">
        <is>
          <t xml:space="preserve">54-56</t>
        </is>
      </c>
      <c r="G6">
        <v>4</v>
      </c>
      <c r="H6" s="2">
        <v>46.0</v>
      </c>
      <c r="I6" t="inlineStr">
        <is>
          <t xml:space="preserve">55% хлопок, 40% ПЭ, 5% спандекс</t>
        </is>
      </c>
      <c r="J6" t="inlineStr">
        <is>
          <t xml:space="preserve">лето</t>
        </is>
      </c>
      <c r="K6" t="inlineStr">
        <is>
          <t xml:space="preserve">Китай</t>
        </is>
      </c>
      <c r="L6" t="inlineStr">
        <is>
          <t xml:space="preserve">6204623100</t>
        </is>
      </c>
      <c r="M6" t="inlineStr">
        <is>
          <t xml:space="preserve">Декларация № ЕАЭС № BY/112 11.01. ТР017 122.01 08246, до 19.04.2028</t>
        </is>
      </c>
      <c r="N6" t="inlineStr">
        <is>
          <t xml:space="preserve">34 × 29 × 3</t>
        </is>
      </c>
      <c r="O6" t="inlineStr">
        <is>
          <t xml:space="preserve">0,55</t>
        </is>
      </c>
      <c r="P6" t="inlineStr">
        <is>
          <t xml:space="preserve">4816148180445</t>
        </is>
      </c>
      <c r="Q6" s="3" t="str">
        <f>HYPERLINK("https://modify.by/img/879953492/1.webp","фото")</f>
        <v>фото</v>
      </c>
      <c r="R6" s="3" t="str">
        <f>HYPERLINK("https://modify.by/catalog/bryuki/879953492/?utm_source=price&amp;utm_medium=xlsx","открыть")</f>
        <v>открыть</v>
      </c>
    </row>
    <row r="7">
      <c r="A7" t="inlineStr">
        <is>
          <t xml:space="preserve">Женский</t>
        </is>
      </c>
      <c r="B7" t="inlineStr">
        <is>
          <t xml:space="preserve">Брюки</t>
        </is>
      </c>
      <c r="C7" t="inlineStr">
        <is>
          <t xml:space="preserve">Бриджи стрейч летние</t>
        </is>
      </c>
      <c r="D7" t="inlineStr">
        <is>
          <t xml:space="preserve">T2BE42W01_by_темно-синий</t>
        </is>
      </c>
      <c r="E7" t="inlineStr">
        <is>
          <t xml:space="preserve">темно-синий, деним</t>
        </is>
      </c>
      <c r="F7" t="inlineStr">
        <is>
          <t xml:space="preserve">60-62</t>
        </is>
      </c>
      <c r="G7">
        <v>14</v>
      </c>
      <c r="H7" s="2">
        <v>46.0</v>
      </c>
      <c r="I7" t="inlineStr">
        <is>
          <t xml:space="preserve">55% хлопок, 40% ПЭ, 5% спандекс</t>
        </is>
      </c>
      <c r="J7" t="inlineStr">
        <is>
          <t xml:space="preserve">лето</t>
        </is>
      </c>
      <c r="K7" t="inlineStr">
        <is>
          <t xml:space="preserve">Китай</t>
        </is>
      </c>
      <c r="L7" t="inlineStr">
        <is>
          <t xml:space="preserve">6204623100</t>
        </is>
      </c>
      <c r="M7" t="inlineStr">
        <is>
          <t xml:space="preserve">Декларация № ЕАЭС № BY/112 11.01. ТР017 122.01 08246, до 19.04.2028</t>
        </is>
      </c>
      <c r="N7" t="inlineStr">
        <is>
          <t xml:space="preserve">34 × 29 × 3</t>
        </is>
      </c>
      <c r="O7" t="inlineStr">
        <is>
          <t xml:space="preserve">0,55</t>
        </is>
      </c>
      <c r="P7" t="inlineStr">
        <is>
          <t xml:space="preserve">4816148180452</t>
        </is>
      </c>
      <c r="Q7" s="3" t="str">
        <f>HYPERLINK("https://modify.by/img/879953492/1.webp","фото")</f>
        <v>фото</v>
      </c>
      <c r="R7" s="3" t="str">
        <f>HYPERLINK("https://modify.by/catalog/bryuki/879953492/?utm_source=price&amp;utm_medium=xlsx","открыть")</f>
        <v>открыть</v>
      </c>
    </row>
    <row r="8">
      <c r="A8" t="inlineStr">
        <is>
          <t xml:space="preserve">Женский</t>
        </is>
      </c>
      <c r="B8" t="inlineStr">
        <is>
          <t xml:space="preserve">Брюки</t>
        </is>
      </c>
      <c r="C8" t="inlineStr">
        <is>
          <t xml:space="preserve">Брюки 7/8 с разрезами офисные</t>
        </is>
      </c>
      <c r="D8" t="inlineStr">
        <is>
          <t xml:space="preserve">PA32W013Темно-синий</t>
        </is>
      </c>
      <c r="E8" t="inlineStr">
        <is>
          <t xml:space="preserve">темно-синий</t>
        </is>
      </c>
      <c r="F8" t="inlineStr">
        <is>
          <t xml:space="preserve">50/170</t>
        </is>
      </c>
      <c r="G8">
        <v>1</v>
      </c>
      <c r="H8" s="2">
        <v>32.0</v>
      </c>
      <c r="I8" t="inlineStr">
        <is>
          <t xml:space="preserve">Хлопок 75% Полиэстер 23% Эластан 2%</t>
        </is>
      </c>
      <c r="J8" t="inlineStr">
        <is>
          <t xml:space="preserve">демисезон</t>
        </is>
      </c>
      <c r="K8" t="inlineStr">
        <is>
          <t xml:space="preserve">Бангладеш</t>
        </is>
      </c>
      <c r="L8" t="inlineStr">
        <is>
          <t xml:space="preserve">6204631800</t>
        </is>
      </c>
      <c r="M8" t="inlineStr">
        <is>
          <t xml:space="preserve">Декларация № ЕАЭС № BY/112 11.01. ТР017 122.01 08246, до 19.04.2028</t>
        </is>
      </c>
      <c r="N8" t="inlineStr">
        <is>
          <t xml:space="preserve">35 × 30 × 4</t>
        </is>
      </c>
      <c r="O8" t="inlineStr">
        <is>
          <t xml:space="preserve">0,6</t>
        </is>
      </c>
      <c r="P8" t="inlineStr">
        <is>
          <t xml:space="preserve">2016957044330</t>
        </is>
      </c>
      <c r="Q8" s="3" t="str">
        <f>HYPERLINK("https://modify.by/img/140806842/1.webp","фото")</f>
        <v>фото</v>
      </c>
      <c r="R8" s="3" t="str">
        <f>HYPERLINK("https://modify.by/catalog/bryuki/140806842/?utm_source=price&amp;utm_medium=xlsx","открыть")</f>
        <v>открыть</v>
      </c>
    </row>
    <row r="9">
      <c r="A9" t="inlineStr">
        <is>
          <t xml:space="preserve">Женский</t>
        </is>
      </c>
      <c r="B9" t="inlineStr">
        <is>
          <t xml:space="preserve">Брюки</t>
        </is>
      </c>
      <c r="C9" t="inlineStr">
        <is>
          <t xml:space="preserve">Брюки 7/8 с разрезами офисные</t>
        </is>
      </c>
      <c r="D9" t="inlineStr">
        <is>
          <t xml:space="preserve">PA32W013Темно-синий</t>
        </is>
      </c>
      <c r="E9" t="inlineStr">
        <is>
          <t xml:space="preserve">темно-синий</t>
        </is>
      </c>
      <c r="F9" t="inlineStr">
        <is>
          <t xml:space="preserve">50/170</t>
        </is>
      </c>
      <c r="G9">
        <v>1</v>
      </c>
      <c r="H9" s="2">
        <v>32.0</v>
      </c>
      <c r="I9" t="inlineStr">
        <is>
          <t xml:space="preserve">Хлопок 75% Полиэстер 23% Эластан 2%</t>
        </is>
      </c>
      <c r="J9" t="inlineStr">
        <is>
          <t xml:space="preserve">демисезон</t>
        </is>
      </c>
      <c r="K9" t="inlineStr">
        <is>
          <t xml:space="preserve">Бангладеш</t>
        </is>
      </c>
      <c r="L9" t="inlineStr">
        <is>
          <t xml:space="preserve">6204631800</t>
        </is>
      </c>
      <c r="M9" t="inlineStr">
        <is>
          <t xml:space="preserve">Декларация № ЕАЭС № BY/112 11.01. ТР017 122.01 08246, до 19.04.2028</t>
        </is>
      </c>
      <c r="N9" t="inlineStr">
        <is>
          <t xml:space="preserve">35 × 30 × 4</t>
        </is>
      </c>
      <c r="O9" t="inlineStr">
        <is>
          <t xml:space="preserve">0,6</t>
        </is>
      </c>
      <c r="P9" t="inlineStr">
        <is>
          <t xml:space="preserve">4816148176356</t>
        </is>
      </c>
      <c r="Q9" s="3" t="str">
        <f>HYPERLINK("https://modify.by/img/140806842/1.webp","фото")</f>
        <v>фото</v>
      </c>
      <c r="R9" s="3" t="str">
        <f>HYPERLINK("https://modify.by/catalog/bryuki/140806842/?utm_source=price&amp;utm_medium=xlsx","открыть")</f>
        <v>открыть</v>
      </c>
    </row>
    <row r="10">
      <c r="A10" t="inlineStr">
        <is>
          <t xml:space="preserve">Женский</t>
        </is>
      </c>
      <c r="B10" t="inlineStr">
        <is>
          <t xml:space="preserve">Брюки</t>
        </is>
      </c>
      <c r="C10" t="inlineStr">
        <is>
          <t xml:space="preserve">Брюки 7/8 с разрезами офисные</t>
        </is>
      </c>
      <c r="D10" t="inlineStr">
        <is>
          <t xml:space="preserve">PA32W013Темно-синий</t>
        </is>
      </c>
      <c r="E10" t="inlineStr">
        <is>
          <t xml:space="preserve">темно-синий</t>
        </is>
      </c>
      <c r="F10" t="inlineStr">
        <is>
          <t xml:space="preserve">56/170</t>
        </is>
      </c>
      <c r="G10">
        <v>2</v>
      </c>
      <c r="H10" s="2">
        <v>32.0</v>
      </c>
      <c r="I10" t="inlineStr">
        <is>
          <t xml:space="preserve">Хлопок 75% Полиэстер 23% Эластан 2%</t>
        </is>
      </c>
      <c r="J10" t="inlineStr">
        <is>
          <t xml:space="preserve">демисезон</t>
        </is>
      </c>
      <c r="K10" t="inlineStr">
        <is>
          <t xml:space="preserve">Бангладеш</t>
        </is>
      </c>
      <c r="L10" t="inlineStr">
        <is>
          <t xml:space="preserve">6204631800</t>
        </is>
      </c>
      <c r="M10" t="inlineStr">
        <is>
          <t xml:space="preserve">Декларация № ЕАЭС № BY/112 11.01. ТР017 122.01 08246, до 19.04.2028</t>
        </is>
      </c>
      <c r="N10" t="inlineStr">
        <is>
          <t xml:space="preserve">35 × 30 × 4</t>
        </is>
      </c>
      <c r="O10" t="inlineStr">
        <is>
          <t xml:space="preserve">0,6</t>
        </is>
      </c>
      <c r="P10" t="inlineStr">
        <is>
          <t xml:space="preserve">2016957044309</t>
        </is>
      </c>
      <c r="Q10" s="3" t="str">
        <f>HYPERLINK("https://modify.by/img/140806842/1.webp","фото")</f>
        <v>фото</v>
      </c>
      <c r="R10" s="3" t="str">
        <f>HYPERLINK("https://modify.by/catalog/bryuki/140806842/?utm_source=price&amp;utm_medium=xlsx","открыть")</f>
        <v>открыть</v>
      </c>
    </row>
    <row r="11">
      <c r="A11" t="inlineStr">
        <is>
          <t xml:space="preserve">Женский</t>
        </is>
      </c>
      <c r="B11" t="inlineStr">
        <is>
          <t xml:space="preserve">Брюки</t>
        </is>
      </c>
      <c r="C11" t="inlineStr">
        <is>
          <t xml:space="preserve">Брюки 7/8 с разрезами офисные</t>
        </is>
      </c>
      <c r="D11" t="inlineStr">
        <is>
          <t xml:space="preserve">PA32W013Темно-синий</t>
        </is>
      </c>
      <c r="E11" t="inlineStr">
        <is>
          <t xml:space="preserve">темно-синий</t>
        </is>
      </c>
      <c r="F11" t="inlineStr">
        <is>
          <t xml:space="preserve">60/176</t>
        </is>
      </c>
      <c r="G11">
        <v>1</v>
      </c>
      <c r="H11" s="2">
        <v>32.0</v>
      </c>
      <c r="I11" t="inlineStr">
        <is>
          <t xml:space="preserve">Хлопок 75% Полиэстер 23% Эластан 2%</t>
        </is>
      </c>
      <c r="J11" t="inlineStr">
        <is>
          <t xml:space="preserve">демисезон</t>
        </is>
      </c>
      <c r="K11" t="inlineStr">
        <is>
          <t xml:space="preserve">Бангладеш</t>
        </is>
      </c>
      <c r="L11" t="inlineStr">
        <is>
          <t xml:space="preserve">6204631800</t>
        </is>
      </c>
      <c r="M11" t="inlineStr">
        <is>
          <t xml:space="preserve">Декларация № ЕАЭС № BY/112 11.01. ТР017 122.01 08246, до 19.04.2028</t>
        </is>
      </c>
      <c r="N11" t="inlineStr">
        <is>
          <t xml:space="preserve">35 × 30 × 4</t>
        </is>
      </c>
      <c r="O11" t="inlineStr">
        <is>
          <t xml:space="preserve">0,6</t>
        </is>
      </c>
      <c r="P11" t="inlineStr">
        <is>
          <t xml:space="preserve">2026620793717</t>
        </is>
      </c>
      <c r="Q11" s="3" t="str">
        <f>HYPERLINK("https://modify.by/img/140806842/1.webp","фото")</f>
        <v>фото</v>
      </c>
      <c r="R11" s="3" t="str">
        <f>HYPERLINK("https://modify.by/catalog/bryuki/140806842/?utm_source=price&amp;utm_medium=xlsx","открыть")</f>
        <v>открыть</v>
      </c>
    </row>
    <row r="12">
      <c r="A12" t="inlineStr">
        <is>
          <t xml:space="preserve">Женский</t>
        </is>
      </c>
      <c r="B12" t="inlineStr">
        <is>
          <t xml:space="preserve">Брюки</t>
        </is>
      </c>
      <c r="C12" t="inlineStr">
        <is>
          <t xml:space="preserve">Брюки в клетку легинсы</t>
        </is>
      </c>
      <c r="D12" t="inlineStr">
        <is>
          <t xml:space="preserve">PA12W02*Черный,белый</t>
        </is>
      </c>
      <c r="E12" t="inlineStr">
        <is>
          <t xml:space="preserve">черный</t>
        </is>
      </c>
      <c r="F12" t="inlineStr">
        <is>
          <t xml:space="preserve">48</t>
        </is>
      </c>
      <c r="G12">
        <v>2</v>
      </c>
      <c r="H12" s="2">
        <v>27.0</v>
      </c>
      <c r="I12" t="inlineStr">
        <is>
          <t xml:space="preserve">эластан 3%, вискоза 27%, полиэстер 70%</t>
        </is>
      </c>
      <c r="J12"/>
      <c r="K12" t="inlineStr">
        <is>
          <t xml:space="preserve">Бангладеш</t>
        </is>
      </c>
      <c r="L12" t="inlineStr">
        <is>
          <t xml:space="preserve">6203411000</t>
        </is>
      </c>
      <c r="M12" t="inlineStr">
        <is>
          <t xml:space="preserve">Декларация № ЕАЭС № BY/112 11.01. ТР017 122.01 08246, до 19.04.2028</t>
        </is>
      </c>
      <c r="N12" t="inlineStr">
        <is>
          <t xml:space="preserve">2 × 30 × 35</t>
        </is>
      </c>
      <c r="O12" t="inlineStr">
        <is>
          <t xml:space="preserve">0,4</t>
        </is>
      </c>
      <c r="P12" t="inlineStr">
        <is>
          <t xml:space="preserve">2004570290340</t>
        </is>
      </c>
      <c r="Q12" s="3" t="str">
        <f>HYPERLINK("https://modify.by/img/58453848/1.webp","фото")</f>
        <v>фото</v>
      </c>
      <c r="R12" s="3" t="str">
        <f>HYPERLINK("https://modify.by/catalog/bryuki/58453848/?utm_source=price&amp;utm_medium=xlsx","открыть")</f>
        <v>открыть</v>
      </c>
    </row>
    <row r="13">
      <c r="A13" t="inlineStr">
        <is>
          <t xml:space="preserve">Женский</t>
        </is>
      </c>
      <c r="B13" t="inlineStr">
        <is>
          <t xml:space="preserve">Брюки</t>
        </is>
      </c>
      <c r="C13" t="inlineStr">
        <is>
          <t xml:space="preserve">Брюки в клетку легинсы</t>
        </is>
      </c>
      <c r="D13" t="inlineStr">
        <is>
          <t xml:space="preserve">PA12W02*Черный,белый</t>
        </is>
      </c>
      <c r="E13" t="inlineStr">
        <is>
          <t xml:space="preserve">черный</t>
        </is>
      </c>
      <c r="F13" t="inlineStr">
        <is>
          <t xml:space="preserve">48</t>
        </is>
      </c>
      <c r="G13">
        <v>2</v>
      </c>
      <c r="H13" s="2">
        <v>27.0</v>
      </c>
      <c r="I13" t="inlineStr">
        <is>
          <t xml:space="preserve">эластан 3%, вискоза 27%, полиэстер 70%</t>
        </is>
      </c>
      <c r="J13"/>
      <c r="K13" t="inlineStr">
        <is>
          <t xml:space="preserve">Бангладеш</t>
        </is>
      </c>
      <c r="L13" t="inlineStr">
        <is>
          <t xml:space="preserve">6203411000</t>
        </is>
      </c>
      <c r="M13" t="inlineStr">
        <is>
          <t xml:space="preserve">Декларация № ЕАЭС № BY/112 11.01. ТР017 122.01 08246, до 19.04.2028</t>
        </is>
      </c>
      <c r="N13" t="inlineStr">
        <is>
          <t xml:space="preserve">2 × 30 × 35</t>
        </is>
      </c>
      <c r="O13" t="inlineStr">
        <is>
          <t xml:space="preserve">0,4</t>
        </is>
      </c>
      <c r="P13" t="inlineStr">
        <is>
          <t xml:space="preserve">4816148177315</t>
        </is>
      </c>
      <c r="Q13" s="3" t="str">
        <f>HYPERLINK("https://modify.by/img/58453848/1.webp","фото")</f>
        <v>фото</v>
      </c>
      <c r="R13" s="3" t="str">
        <f>HYPERLINK("https://modify.by/catalog/bryuki/58453848/?utm_source=price&amp;utm_medium=xlsx","открыть")</f>
        <v>открыть</v>
      </c>
    </row>
    <row r="14">
      <c r="A14" t="inlineStr">
        <is>
          <t xml:space="preserve">Женский</t>
        </is>
      </c>
      <c r="B14" t="inlineStr">
        <is>
          <t xml:space="preserve">Брюки</t>
        </is>
      </c>
      <c r="C14" t="inlineStr">
        <is>
          <t xml:space="preserve">Брюки вельветовые штроксы 100% хлопок, марсала</t>
        </is>
      </c>
      <c r="D14" t="inlineStr">
        <is>
          <t xml:space="preserve">PA62W05_sm_бордо</t>
        </is>
      </c>
      <c r="E14" t="inlineStr">
        <is>
          <t xml:space="preserve">марсала, бордовый</t>
        </is>
      </c>
      <c r="F14" t="inlineStr">
        <is>
          <t xml:space="preserve">44-170</t>
        </is>
      </c>
      <c r="G14">
        <v>2</v>
      </c>
      <c r="H14" s="2">
        <v>46.0</v>
      </c>
      <c r="I14" t="inlineStr">
        <is>
          <t xml:space="preserve">хлопок</t>
        </is>
      </c>
      <c r="J14" t="inlineStr">
        <is>
          <t xml:space="preserve">Демисезон</t>
        </is>
      </c>
      <c r="K14" t="inlineStr">
        <is>
          <t xml:space="preserve">Бангладеш</t>
        </is>
      </c>
      <c r="L14" t="inlineStr">
        <is>
          <t xml:space="preserve">6204623900</t>
        </is>
      </c>
      <c r="M14" t="inlineStr">
        <is>
          <t xml:space="preserve">Декларация № ЕАЭС № BY/112 11.01. ТР017 122.01 08246, до 19.04.2028</t>
        </is>
      </c>
      <c r="N14" t="inlineStr">
        <is>
          <t xml:space="preserve">28 × 21 × 6</t>
        </is>
      </c>
      <c r="O14" t="inlineStr">
        <is>
          <t xml:space="preserve">0,69</t>
        </is>
      </c>
      <c r="P14" t="inlineStr">
        <is>
          <t xml:space="preserve">4816148177452</t>
        </is>
      </c>
      <c r="Q14" s="3" t="str">
        <f>HYPERLINK("https://modify.by/img/857565650/1.webp","фото")</f>
        <v>фото</v>
      </c>
      <c r="R14" s="3" t="str">
        <f>HYPERLINK("https://modify.by/catalog/bryuki/857565650/?utm_source=price&amp;utm_medium=xlsx","открыть")</f>
        <v>открыть</v>
      </c>
    </row>
    <row r="15">
      <c r="A15" t="inlineStr">
        <is>
          <t xml:space="preserve">Женский</t>
        </is>
      </c>
      <c r="B15" t="inlineStr">
        <is>
          <t xml:space="preserve">Брюки</t>
        </is>
      </c>
      <c r="C15" t="inlineStr">
        <is>
          <t xml:space="preserve">Брюки вельветовые штроксы 100% хлопок, темно-синий</t>
        </is>
      </c>
      <c r="D15" t="inlineStr">
        <is>
          <t xml:space="preserve">PA62W05_sm_темно-синий</t>
        </is>
      </c>
      <c r="E15" t="inlineStr">
        <is>
          <t xml:space="preserve">темно-синий</t>
        </is>
      </c>
      <c r="F15" t="inlineStr">
        <is>
          <t xml:space="preserve">44-170</t>
        </is>
      </c>
      <c r="G15">
        <v>3</v>
      </c>
      <c r="H15" s="2">
        <v>46.0</v>
      </c>
      <c r="I15" t="inlineStr">
        <is>
          <t xml:space="preserve">хлопок</t>
        </is>
      </c>
      <c r="J15" t="inlineStr">
        <is>
          <t xml:space="preserve">Демисезон</t>
        </is>
      </c>
      <c r="K15" t="inlineStr">
        <is>
          <t xml:space="preserve">Бангладеш</t>
        </is>
      </c>
      <c r="L15" t="inlineStr">
        <is>
          <t xml:space="preserve">6204623900</t>
        </is>
      </c>
      <c r="M15" t="inlineStr">
        <is>
          <t xml:space="preserve">Декларация № ЕАЭС № BY/112 11.01. ТР017 122.01 08246, до 19.04.2028</t>
        </is>
      </c>
      <c r="N15" t="inlineStr">
        <is>
          <t xml:space="preserve">28 × 21 × 6</t>
        </is>
      </c>
      <c r="O15" t="inlineStr">
        <is>
          <t xml:space="preserve">0,69</t>
        </is>
      </c>
      <c r="P15" t="inlineStr">
        <is>
          <t xml:space="preserve">4816148175403</t>
        </is>
      </c>
      <c r="Q15" s="3" t="str">
        <f>HYPERLINK("https://modify.by/img/778302983/1.webp","фото")</f>
        <v>фото</v>
      </c>
      <c r="R15" s="3" t="str">
        <f>HYPERLINK("https://modify.by/catalog/bryuki/778302983/?utm_source=price&amp;utm_medium=xlsx","открыть")</f>
        <v>открыть</v>
      </c>
    </row>
    <row r="16">
      <c r="A16" t="inlineStr">
        <is>
          <t xml:space="preserve">Женский</t>
        </is>
      </c>
      <c r="B16" t="inlineStr">
        <is>
          <t xml:space="preserve">Брюки</t>
        </is>
      </c>
      <c r="C16" t="inlineStr">
        <is>
          <t xml:space="preserve">Брюки вельветовые штроксы 100% хлопок, темно-синий</t>
        </is>
      </c>
      <c r="D16" t="inlineStr">
        <is>
          <t xml:space="preserve">PA62W05_sm_темно-синий</t>
        </is>
      </c>
      <c r="E16" t="inlineStr">
        <is>
          <t xml:space="preserve">темно-синий</t>
        </is>
      </c>
      <c r="F16" t="inlineStr">
        <is>
          <t xml:space="preserve">46-164</t>
        </is>
      </c>
      <c r="G16">
        <v>3</v>
      </c>
      <c r="H16" s="2">
        <v>46.0</v>
      </c>
      <c r="I16" t="inlineStr">
        <is>
          <t xml:space="preserve">хлопок</t>
        </is>
      </c>
      <c r="J16" t="inlineStr">
        <is>
          <t xml:space="preserve">Демисезон</t>
        </is>
      </c>
      <c r="K16" t="inlineStr">
        <is>
          <t xml:space="preserve">Бангладеш</t>
        </is>
      </c>
      <c r="L16" t="inlineStr">
        <is>
          <t xml:space="preserve">6204623900</t>
        </is>
      </c>
      <c r="M16" t="inlineStr">
        <is>
          <t xml:space="preserve">Декларация № ЕАЭС № BY/112 11.01. ТР017 122.01 08246, до 19.04.2028</t>
        </is>
      </c>
      <c r="N16" t="inlineStr">
        <is>
          <t xml:space="preserve">28 × 21 × 6</t>
        </is>
      </c>
      <c r="O16" t="inlineStr">
        <is>
          <t xml:space="preserve">0,69</t>
        </is>
      </c>
      <c r="P16" t="inlineStr">
        <is>
          <t xml:space="preserve">4816148175311</t>
        </is>
      </c>
      <c r="Q16" s="3" t="str">
        <f>HYPERLINK("https://modify.by/img/778302983/1.webp","фото")</f>
        <v>фото</v>
      </c>
      <c r="R16" s="3" t="str">
        <f>HYPERLINK("https://modify.by/catalog/bryuki/778302983/?utm_source=price&amp;utm_medium=xlsx","открыть")</f>
        <v>открыть</v>
      </c>
    </row>
    <row r="17">
      <c r="A17" t="inlineStr">
        <is>
          <t xml:space="preserve">Женский</t>
        </is>
      </c>
      <c r="B17" t="inlineStr">
        <is>
          <t xml:space="preserve">Брюки</t>
        </is>
      </c>
      <c r="C17" t="inlineStr">
        <is>
          <t xml:space="preserve">Брюки вельветовые штроксы 100% хлопок, темно-синий</t>
        </is>
      </c>
      <c r="D17" t="inlineStr">
        <is>
          <t xml:space="preserve">PA62W05_sm_темно-синий</t>
        </is>
      </c>
      <c r="E17" t="inlineStr">
        <is>
          <t xml:space="preserve">темно-синий</t>
        </is>
      </c>
      <c r="F17" t="inlineStr">
        <is>
          <t xml:space="preserve">46-170</t>
        </is>
      </c>
      <c r="G17">
        <v>3</v>
      </c>
      <c r="H17" s="2">
        <v>46.0</v>
      </c>
      <c r="I17" t="inlineStr">
        <is>
          <t xml:space="preserve">хлопок</t>
        </is>
      </c>
      <c r="J17" t="inlineStr">
        <is>
          <t xml:space="preserve">Демисезон</t>
        </is>
      </c>
      <c r="K17" t="inlineStr">
        <is>
          <t xml:space="preserve">Бангладеш</t>
        </is>
      </c>
      <c r="L17" t="inlineStr">
        <is>
          <t xml:space="preserve">6204623900</t>
        </is>
      </c>
      <c r="M17" t="inlineStr">
        <is>
          <t xml:space="preserve">Декларация № ЕАЭС № BY/112 11.01. ТР017 122.01 08246, до 19.04.2028</t>
        </is>
      </c>
      <c r="N17" t="inlineStr">
        <is>
          <t xml:space="preserve">28 × 21 × 6</t>
        </is>
      </c>
      <c r="O17" t="inlineStr">
        <is>
          <t xml:space="preserve">0,69</t>
        </is>
      </c>
      <c r="P17" t="inlineStr">
        <is>
          <t xml:space="preserve">4816148175410</t>
        </is>
      </c>
      <c r="Q17" s="3" t="str">
        <f>HYPERLINK("https://modify.by/img/778302983/1.webp","фото")</f>
        <v>фото</v>
      </c>
      <c r="R17" s="3" t="str">
        <f>HYPERLINK("https://modify.by/catalog/bryuki/778302983/?utm_source=price&amp;utm_medium=xlsx","открыть")</f>
        <v>открыть</v>
      </c>
    </row>
    <row r="18">
      <c r="A18" t="inlineStr">
        <is>
          <t xml:space="preserve">Женский</t>
        </is>
      </c>
      <c r="B18" t="inlineStr">
        <is>
          <t xml:space="preserve">Брюки</t>
        </is>
      </c>
      <c r="C18" t="inlineStr">
        <is>
          <t xml:space="preserve">Брюки высокая талия</t>
        </is>
      </c>
      <c r="D18" t="inlineStr">
        <is>
          <t xml:space="preserve">PA02W01бордовый</t>
        </is>
      </c>
      <c r="E18" t="inlineStr">
        <is>
          <t xml:space="preserve">бордовый</t>
        </is>
      </c>
      <c r="F18" t="inlineStr">
        <is>
          <t xml:space="preserve">48</t>
        </is>
      </c>
      <c r="G18">
        <v>1</v>
      </c>
      <c r="H18" s="2">
        <v>26.0</v>
      </c>
      <c r="I18" t="inlineStr">
        <is>
          <t xml:space="preserve">хлопок, эластан, вискоза</t>
        </is>
      </c>
      <c r="J18"/>
      <c r="K18" t="inlineStr">
        <is>
          <t xml:space="preserve">Бангладеш</t>
        </is>
      </c>
      <c r="L18" t="inlineStr">
        <is>
          <t xml:space="preserve">6203411000</t>
        </is>
      </c>
      <c r="M18" t="inlineStr">
        <is>
          <t xml:space="preserve">по запросу</t>
        </is>
      </c>
      <c r="N18"/>
      <c r="O18"/>
      <c r="P18" t="inlineStr">
        <is>
          <t xml:space="preserve">8595633718115</t>
        </is>
      </c>
      <c r="Q18" s="3" t="str">
        <f>HYPERLINK("https://modify.by/img/32996080/1.webp","фото")</f>
        <v>фото</v>
      </c>
      <c r="R18" s="3" t="str">
        <f>HYPERLINK("https://modify.by/catalog/bryuki/32996080/?utm_source=price&amp;utm_medium=xlsx","открыть")</f>
        <v>открыть</v>
      </c>
    </row>
    <row r="19">
      <c r="A19" t="inlineStr">
        <is>
          <t xml:space="preserve">Женский</t>
        </is>
      </c>
      <c r="B19" t="inlineStr">
        <is>
          <t xml:space="preserve">Брюки</t>
        </is>
      </c>
      <c r="C19" t="inlineStr">
        <is>
          <t xml:space="preserve">Брюки дудочки вечерние из металлизированной ткани</t>
        </is>
      </c>
      <c r="D19" t="inlineStr">
        <is>
          <t xml:space="preserve">PA62W04</t>
        </is>
      </c>
      <c r="E19" t="inlineStr">
        <is>
          <t xml:space="preserve">золотисто-коричневый, темный металл</t>
        </is>
      </c>
      <c r="F19" t="inlineStr">
        <is>
          <t xml:space="preserve">42</t>
        </is>
      </c>
      <c r="G19">
        <v>21</v>
      </c>
      <c r="H19" s="2">
        <v>30.0</v>
      </c>
      <c r="I19" t="inlineStr">
        <is>
          <t xml:space="preserve">30% металлизированная акриловая нить, 60% полиамид, 10% ПЭ</t>
        </is>
      </c>
      <c r="J19" t="inlineStr">
        <is>
          <t xml:space="preserve">демисезон</t>
        </is>
      </c>
      <c r="K19" t="inlineStr">
        <is>
          <t xml:space="preserve">Бангладеш</t>
        </is>
      </c>
      <c r="L19" t="inlineStr">
        <is>
          <t xml:space="preserve">6204631800</t>
        </is>
      </c>
      <c r="M19" t="inlineStr">
        <is>
          <t xml:space="preserve">Декларация № ЕАЭС N RU Д-CN.РА02.В.44039/24, до 28.02.2029</t>
        </is>
      </c>
      <c r="N19" t="inlineStr">
        <is>
          <t xml:space="preserve">30 × 26 × 3</t>
        </is>
      </c>
      <c r="O19" t="inlineStr">
        <is>
          <t xml:space="preserve">0,45</t>
        </is>
      </c>
      <c r="P19" t="inlineStr">
        <is>
          <t xml:space="preserve">4816148174895</t>
        </is>
      </c>
      <c r="Q19" s="3" t="str">
        <f>HYPERLINK("https://modify.by/img/751556785/1.webp","фото")</f>
        <v>фото</v>
      </c>
      <c r="R19" s="3" t="str">
        <f>HYPERLINK("https://modify.by/catalog/bryuki/751556785/?utm_source=price&amp;utm_medium=xlsx","открыть")</f>
        <v>открыть</v>
      </c>
    </row>
    <row r="20">
      <c r="A20" t="inlineStr">
        <is>
          <t xml:space="preserve">Женский</t>
        </is>
      </c>
      <c r="B20" t="inlineStr">
        <is>
          <t xml:space="preserve">Брюки</t>
        </is>
      </c>
      <c r="C20" t="inlineStr">
        <is>
          <t xml:space="preserve">Брюки дудочки вечерние из металлизированной ткани</t>
        </is>
      </c>
      <c r="D20" t="inlineStr">
        <is>
          <t xml:space="preserve">PA62W04</t>
        </is>
      </c>
      <c r="E20" t="inlineStr">
        <is>
          <t xml:space="preserve">золотисто-коричневый, темный металл</t>
        </is>
      </c>
      <c r="F20" t="inlineStr">
        <is>
          <t xml:space="preserve">44</t>
        </is>
      </c>
      <c r="G20">
        <v>16</v>
      </c>
      <c r="H20" s="2">
        <v>30.0</v>
      </c>
      <c r="I20" t="inlineStr">
        <is>
          <t xml:space="preserve">30% металлизированная акриловая нить, 60% полиамид, 10% ПЭ</t>
        </is>
      </c>
      <c r="J20" t="inlineStr">
        <is>
          <t xml:space="preserve">демисезон</t>
        </is>
      </c>
      <c r="K20" t="inlineStr">
        <is>
          <t xml:space="preserve">Бангладеш</t>
        </is>
      </c>
      <c r="L20" t="inlineStr">
        <is>
          <t xml:space="preserve">6204631800</t>
        </is>
      </c>
      <c r="M20" t="inlineStr">
        <is>
          <t xml:space="preserve">Декларация № ЕАЭС N RU Д-CN.РА02.В.44039/24, до 28.02.2029</t>
        </is>
      </c>
      <c r="N20" t="inlineStr">
        <is>
          <t xml:space="preserve">30 × 26 × 3</t>
        </is>
      </c>
      <c r="O20" t="inlineStr">
        <is>
          <t xml:space="preserve">0,45</t>
        </is>
      </c>
      <c r="P20" t="inlineStr">
        <is>
          <t xml:space="preserve">4816148174901</t>
        </is>
      </c>
      <c r="Q20" s="3" t="str">
        <f>HYPERLINK("https://modify.by/img/751556785/1.webp","фото")</f>
        <v>фото</v>
      </c>
      <c r="R20" s="3" t="str">
        <f>HYPERLINK("https://modify.by/catalog/bryuki/751556785/?utm_source=price&amp;utm_medium=xlsx","открыть")</f>
        <v>открыть</v>
      </c>
    </row>
    <row r="21">
      <c r="A21" t="inlineStr">
        <is>
          <t xml:space="preserve">Женский</t>
        </is>
      </c>
      <c r="B21" t="inlineStr">
        <is>
          <t xml:space="preserve">Брюки</t>
        </is>
      </c>
      <c r="C21" t="inlineStr">
        <is>
          <t xml:space="preserve">Брюки дудочки вечерние из металлизированной ткани</t>
        </is>
      </c>
      <c r="D21" t="inlineStr">
        <is>
          <t xml:space="preserve">PA62W04</t>
        </is>
      </c>
      <c r="E21" t="inlineStr">
        <is>
          <t xml:space="preserve">золотисто-коричневый, темный металл</t>
        </is>
      </c>
      <c r="F21" t="inlineStr">
        <is>
          <t xml:space="preserve">46</t>
        </is>
      </c>
      <c r="G21">
        <v>16</v>
      </c>
      <c r="H21" s="2">
        <v>30.0</v>
      </c>
      <c r="I21" t="inlineStr">
        <is>
          <t xml:space="preserve">30% металлизированная акриловая нить, 60% полиамид, 10% ПЭ</t>
        </is>
      </c>
      <c r="J21" t="inlineStr">
        <is>
          <t xml:space="preserve">демисезон</t>
        </is>
      </c>
      <c r="K21" t="inlineStr">
        <is>
          <t xml:space="preserve">Бангладеш</t>
        </is>
      </c>
      <c r="L21" t="inlineStr">
        <is>
          <t xml:space="preserve">6204631800</t>
        </is>
      </c>
      <c r="M21" t="inlineStr">
        <is>
          <t xml:space="preserve">Декларация № ЕАЭС N RU Д-CN.РА02.В.44039/24, до 28.02.2029</t>
        </is>
      </c>
      <c r="N21" t="inlineStr">
        <is>
          <t xml:space="preserve">30 × 26 × 3</t>
        </is>
      </c>
      <c r="O21" t="inlineStr">
        <is>
          <t xml:space="preserve">0,45</t>
        </is>
      </c>
      <c r="P21" t="inlineStr">
        <is>
          <t xml:space="preserve">4816148174918</t>
        </is>
      </c>
      <c r="Q21" s="3" t="str">
        <f>HYPERLINK("https://modify.by/img/751556785/1.webp","фото")</f>
        <v>фото</v>
      </c>
      <c r="R21" s="3" t="str">
        <f>HYPERLINK("https://modify.by/catalog/bryuki/751556785/?utm_source=price&amp;utm_medium=xlsx","открыть")</f>
        <v>открыть</v>
      </c>
    </row>
    <row r="22">
      <c r="A22" t="inlineStr">
        <is>
          <t xml:space="preserve">Женский</t>
        </is>
      </c>
      <c r="B22" t="inlineStr">
        <is>
          <t xml:space="preserve">Брюки</t>
        </is>
      </c>
      <c r="C22" t="inlineStr">
        <is>
          <t xml:space="preserve">Брюки дудочки вечерние из металлизированной ткани</t>
        </is>
      </c>
      <c r="D22" t="inlineStr">
        <is>
          <t xml:space="preserve">PA62W04</t>
        </is>
      </c>
      <c r="E22" t="inlineStr">
        <is>
          <t xml:space="preserve">золотисто-коричневый, темный металл</t>
        </is>
      </c>
      <c r="F22" t="inlineStr">
        <is>
          <t xml:space="preserve">48</t>
        </is>
      </c>
      <c r="G22">
        <v>17</v>
      </c>
      <c r="H22" s="2">
        <v>30.0</v>
      </c>
      <c r="I22" t="inlineStr">
        <is>
          <t xml:space="preserve">30% металлизированная акриловая нить, 60% полиамид, 10% ПЭ</t>
        </is>
      </c>
      <c r="J22" t="inlineStr">
        <is>
          <t xml:space="preserve">демисезон</t>
        </is>
      </c>
      <c r="K22" t="inlineStr">
        <is>
          <t xml:space="preserve">Бангладеш</t>
        </is>
      </c>
      <c r="L22" t="inlineStr">
        <is>
          <t xml:space="preserve">6204631800</t>
        </is>
      </c>
      <c r="M22" t="inlineStr">
        <is>
          <t xml:space="preserve">Декларация № ЕАЭС N RU Д-CN.РА02.В.44039/24, до 28.02.2029</t>
        </is>
      </c>
      <c r="N22" t="inlineStr">
        <is>
          <t xml:space="preserve">30 × 26 × 3</t>
        </is>
      </c>
      <c r="O22" t="inlineStr">
        <is>
          <t xml:space="preserve">0,45</t>
        </is>
      </c>
      <c r="P22" t="inlineStr">
        <is>
          <t xml:space="preserve">4816148174925</t>
        </is>
      </c>
      <c r="Q22" s="3" t="str">
        <f>HYPERLINK("https://modify.by/img/751556785/1.webp","фото")</f>
        <v>фото</v>
      </c>
      <c r="R22" s="3" t="str">
        <f>HYPERLINK("https://modify.by/catalog/bryuki/751556785/?utm_source=price&amp;utm_medium=xlsx","открыть")</f>
        <v>открыть</v>
      </c>
    </row>
    <row r="23">
      <c r="A23" t="inlineStr">
        <is>
          <t xml:space="preserve">Женский</t>
        </is>
      </c>
      <c r="B23" t="inlineStr">
        <is>
          <t xml:space="preserve">Брюки</t>
        </is>
      </c>
      <c r="C23" t="inlineStr">
        <is>
          <t xml:space="preserve">Брюки дудочки вечерние из металлизированной ткани</t>
        </is>
      </c>
      <c r="D23" t="inlineStr">
        <is>
          <t xml:space="preserve">PA62W04</t>
        </is>
      </c>
      <c r="E23" t="inlineStr">
        <is>
          <t xml:space="preserve">золотисто-коричневый, темный металл</t>
        </is>
      </c>
      <c r="F23" t="inlineStr">
        <is>
          <t xml:space="preserve">50</t>
        </is>
      </c>
      <c r="G23">
        <v>10</v>
      </c>
      <c r="H23" s="2">
        <v>30.0</v>
      </c>
      <c r="I23" t="inlineStr">
        <is>
          <t xml:space="preserve">30% металлизированная акриловая нить, 60% полиамид, 10% ПЭ</t>
        </is>
      </c>
      <c r="J23" t="inlineStr">
        <is>
          <t xml:space="preserve">демисезон</t>
        </is>
      </c>
      <c r="K23" t="inlineStr">
        <is>
          <t xml:space="preserve">Бангладеш</t>
        </is>
      </c>
      <c r="L23" t="inlineStr">
        <is>
          <t xml:space="preserve">6204631800</t>
        </is>
      </c>
      <c r="M23" t="inlineStr">
        <is>
          <t xml:space="preserve">Декларация № ЕАЭС N RU Д-CN.РА02.В.44039/24, до 28.02.2029</t>
        </is>
      </c>
      <c r="N23" t="inlineStr">
        <is>
          <t xml:space="preserve">30 × 26 × 3</t>
        </is>
      </c>
      <c r="O23" t="inlineStr">
        <is>
          <t xml:space="preserve">0,45</t>
        </is>
      </c>
      <c r="P23" t="inlineStr">
        <is>
          <t xml:space="preserve">4816148174932</t>
        </is>
      </c>
      <c r="Q23" s="3" t="str">
        <f>HYPERLINK("https://modify.by/img/751556785/1.webp","фото")</f>
        <v>фото</v>
      </c>
      <c r="R23" s="3" t="str">
        <f>HYPERLINK("https://modify.by/catalog/bryuki/751556785/?utm_source=price&amp;utm_medium=xlsx","открыть")</f>
        <v>открыть</v>
      </c>
    </row>
    <row r="24">
      <c r="A24" t="inlineStr">
        <is>
          <t xml:space="preserve">Женский</t>
        </is>
      </c>
      <c r="B24" t="inlineStr">
        <is>
          <t xml:space="preserve">Брюки</t>
        </is>
      </c>
      <c r="C24" t="inlineStr">
        <is>
          <t xml:space="preserve">Брюки женские широкие летние</t>
        </is>
      </c>
      <c r="D24" t="inlineStr">
        <is>
          <t xml:space="preserve">CP12W10Белый</t>
        </is>
      </c>
      <c r="E24" t="inlineStr">
        <is>
          <t xml:space="preserve">белый</t>
        </is>
      </c>
      <c r="F24" t="inlineStr">
        <is>
          <t xml:space="preserve">46-48</t>
        </is>
      </c>
      <c r="G24">
        <v>1</v>
      </c>
      <c r="H24" s="2">
        <v>21.0</v>
      </c>
      <c r="I24" t="inlineStr">
        <is>
          <t xml:space="preserve">хлопок 100%</t>
        </is>
      </c>
      <c r="J24" t="inlineStr">
        <is>
          <t xml:space="preserve">Лето</t>
        </is>
      </c>
      <c r="K24" t="inlineStr">
        <is>
          <t xml:space="preserve">Бангладеш</t>
        </is>
      </c>
      <c r="L24" t="inlineStr">
        <is>
          <t xml:space="preserve">6203411000</t>
        </is>
      </c>
      <c r="M24" t="inlineStr">
        <is>
          <t xml:space="preserve">по запросу</t>
        </is>
      </c>
      <c r="N24"/>
      <c r="O24"/>
      <c r="P24" t="inlineStr">
        <is>
          <t xml:space="preserve">8595633709021</t>
        </is>
      </c>
      <c r="Q24" s="3" t="str">
        <f>HYPERLINK("https://modify.by/img/93985529/1.webp","фото")</f>
        <v>фото</v>
      </c>
      <c r="R24" s="3" t="str">
        <f>HYPERLINK("https://modify.by/catalog/bryuki/93985529/?utm_source=price&amp;utm_medium=xlsx","открыть")</f>
        <v>открыть</v>
      </c>
    </row>
    <row r="25">
      <c r="A25" t="inlineStr">
        <is>
          <t xml:space="preserve">Женский</t>
        </is>
      </c>
      <c r="B25" t="inlineStr">
        <is>
          <t xml:space="preserve">Брюки</t>
        </is>
      </c>
      <c r="C25" t="inlineStr">
        <is>
          <t xml:space="preserve">Брюки карго свободного кроя хлопковые, песочный</t>
        </is>
      </c>
      <c r="D25" t="inlineStr">
        <is>
          <t xml:space="preserve">PA52M02Песочный</t>
        </is>
      </c>
      <c r="E25" t="inlineStr">
        <is>
          <t xml:space="preserve">песочный</t>
        </is>
      </c>
      <c r="F25" t="inlineStr">
        <is>
          <t xml:space="preserve">46</t>
        </is>
      </c>
      <c r="G25">
        <v>2</v>
      </c>
      <c r="H25" s="2">
        <v>50.0</v>
      </c>
      <c r="I25" t="inlineStr">
        <is>
          <t xml:space="preserve">Брюки женские с карманами 98% хлопок 2% спандекс, карго женские, женские брюки чиносы, штаны женские с карманами, штаны женские хлопок, чиносы мужские, карго…</t>
        </is>
      </c>
      <c r="J25" t="inlineStr">
        <is>
          <t xml:space="preserve">демисезон</t>
        </is>
      </c>
      <c r="K25" t="inlineStr">
        <is>
          <t xml:space="preserve">Бангладеш</t>
        </is>
      </c>
      <c r="L25" t="inlineStr">
        <is>
          <t xml:space="preserve">6203423500</t>
        </is>
      </c>
      <c r="M25" t="inlineStr">
        <is>
          <t xml:space="preserve">Декларация № ЕАЭС № BY/112 11.01. ТР017 122.01 08246, до 19.04.2028</t>
        </is>
      </c>
      <c r="N25" t="inlineStr">
        <is>
          <t xml:space="preserve">36 × 30 × 2</t>
        </is>
      </c>
      <c r="O25" t="inlineStr">
        <is>
          <t xml:space="preserve">0,6</t>
        </is>
      </c>
      <c r="P25" t="inlineStr">
        <is>
          <t xml:space="preserve">4816148157751</t>
        </is>
      </c>
      <c r="Q25" s="3" t="str">
        <f>HYPERLINK("https://modify.by/img/348650029/1.webp","фото")</f>
        <v>фото</v>
      </c>
      <c r="R25" s="3" t="str">
        <f>HYPERLINK("https://modify.by/catalog/bryuki/348650029/?utm_source=price&amp;utm_medium=xlsx","открыть")</f>
        <v>открыть</v>
      </c>
    </row>
    <row r="26">
      <c r="A26" t="inlineStr">
        <is>
          <t xml:space="preserve">Женский</t>
        </is>
      </c>
      <c r="B26" t="inlineStr">
        <is>
          <t xml:space="preserve">Брюки</t>
        </is>
      </c>
      <c r="C26" t="inlineStr">
        <is>
          <t xml:space="preserve">Брюки карго свободного кроя хлопковые, светлый хаки</t>
        </is>
      </c>
      <c r="D26" t="inlineStr">
        <is>
          <t xml:space="preserve">PA52M02Хаки</t>
        </is>
      </c>
      <c r="E26" t="inlineStr">
        <is>
          <t xml:space="preserve">светлый хаки</t>
        </is>
      </c>
      <c r="F26" t="inlineStr">
        <is>
          <t xml:space="preserve">46</t>
        </is>
      </c>
      <c r="G26">
        <v>1</v>
      </c>
      <c r="H26" s="2">
        <v>50.0</v>
      </c>
      <c r="I26" t="inlineStr">
        <is>
          <t xml:space="preserve">Брюки женские с карманами 98% хлопок 2% спандекс, карго женские, женские брюки чиносы, штаны женские с карманами, штаны женские хлопок, чиносы мужские, карго…</t>
        </is>
      </c>
      <c r="J26" t="inlineStr">
        <is>
          <t xml:space="preserve">демисезон</t>
        </is>
      </c>
      <c r="K26" t="inlineStr">
        <is>
          <t xml:space="preserve">Бангладеш</t>
        </is>
      </c>
      <c r="L26" t="inlineStr">
        <is>
          <t xml:space="preserve">6203423500</t>
        </is>
      </c>
      <c r="M26" t="inlineStr">
        <is>
          <t xml:space="preserve">Декларация № ЕАЭС № BY/112 11.01. ТР017 122.01 08246, до 19.04.2028</t>
        </is>
      </c>
      <c r="N26" t="inlineStr">
        <is>
          <t xml:space="preserve">36 × 30 × 2</t>
        </is>
      </c>
      <c r="O26" t="inlineStr">
        <is>
          <t xml:space="preserve">0,6</t>
        </is>
      </c>
      <c r="P26" t="inlineStr">
        <is>
          <t xml:space="preserve">4816148157805</t>
        </is>
      </c>
      <c r="Q26" s="3" t="str">
        <f>HYPERLINK("https://modify.by/img/348650032/1.webp","фото")</f>
        <v>фото</v>
      </c>
      <c r="R26" s="3" t="str">
        <f>HYPERLINK("https://modify.by/catalog/bryuki/348650032/?utm_source=price&amp;utm_medium=xlsx","открыть")</f>
        <v>открыть</v>
      </c>
    </row>
    <row r="27">
      <c r="A27" t="inlineStr">
        <is>
          <t xml:space="preserve">Женский</t>
        </is>
      </c>
      <c r="B27" t="inlineStr">
        <is>
          <t xml:space="preserve">Брюки</t>
        </is>
      </c>
      <c r="C27" t="inlineStr">
        <is>
          <t xml:space="preserve">Брюки карго свободного кроя хлопковые, светлый хаки</t>
        </is>
      </c>
      <c r="D27" t="inlineStr">
        <is>
          <t xml:space="preserve">PA52M02Хаки</t>
        </is>
      </c>
      <c r="E27" t="inlineStr">
        <is>
          <t xml:space="preserve">светлый хаки</t>
        </is>
      </c>
      <c r="F27" t="inlineStr">
        <is>
          <t xml:space="preserve">48</t>
        </is>
      </c>
      <c r="G27">
        <v>21</v>
      </c>
      <c r="H27" s="2">
        <v>50.0</v>
      </c>
      <c r="I27" t="inlineStr">
        <is>
          <t xml:space="preserve">Брюки женские с карманами 98% хлопок 2% спандекс, карго женские, женские брюки чиносы, штаны женские с карманами, штаны женские хлопок, чиносы мужские, карго…</t>
        </is>
      </c>
      <c r="J27" t="inlineStr">
        <is>
          <t xml:space="preserve">демисезон</t>
        </is>
      </c>
      <c r="K27" t="inlineStr">
        <is>
          <t xml:space="preserve">Бангладеш</t>
        </is>
      </c>
      <c r="L27" t="inlineStr">
        <is>
          <t xml:space="preserve">6203423500</t>
        </is>
      </c>
      <c r="M27" t="inlineStr">
        <is>
          <t xml:space="preserve">Декларация № ЕАЭС № BY/112 11.01. ТР017 122.01 08246, до 19.04.2028</t>
        </is>
      </c>
      <c r="N27" t="inlineStr">
        <is>
          <t xml:space="preserve">36 × 30 × 2</t>
        </is>
      </c>
      <c r="O27" t="inlineStr">
        <is>
          <t xml:space="preserve">0,6</t>
        </is>
      </c>
      <c r="P27" t="inlineStr">
        <is>
          <t xml:space="preserve">4816148157812</t>
        </is>
      </c>
      <c r="Q27" s="3" t="str">
        <f>HYPERLINK("https://modify.by/img/348650032/1.webp","фото")</f>
        <v>фото</v>
      </c>
      <c r="R27" s="3" t="str">
        <f>HYPERLINK("https://modify.by/catalog/bryuki/348650032/?utm_source=price&amp;utm_medium=xlsx","открыть")</f>
        <v>открыть</v>
      </c>
    </row>
    <row r="28">
      <c r="A28" t="inlineStr">
        <is>
          <t xml:space="preserve">Женский</t>
        </is>
      </c>
      <c r="B28" t="inlineStr">
        <is>
          <t xml:space="preserve">Брюки</t>
        </is>
      </c>
      <c r="C28" t="inlineStr">
        <is>
          <t xml:space="preserve">Брюки классические офисные зауженные дудочки, серый</t>
        </is>
      </c>
      <c r="D28" t="inlineStr">
        <is>
          <t xml:space="preserve">T3PA52W04серый</t>
        </is>
      </c>
      <c r="E28" t="inlineStr">
        <is>
          <t xml:space="preserve">серый</t>
        </is>
      </c>
      <c r="F28" t="inlineStr">
        <is>
          <t xml:space="preserve">42</t>
        </is>
      </c>
      <c r="G28">
        <v>1</v>
      </c>
      <c r="H28" s="2">
        <v>59.0</v>
      </c>
      <c r="I28" t="inlineStr">
        <is>
          <t xml:space="preserve">50% вискоза, 50% полиэстер</t>
        </is>
      </c>
      <c r="J28" t="inlineStr">
        <is>
          <t xml:space="preserve">демисезон</t>
        </is>
      </c>
      <c r="K28" t="inlineStr">
        <is>
          <t xml:space="preserve">Китай</t>
        </is>
      </c>
      <c r="L28" t="inlineStr">
        <is>
          <t xml:space="preserve">6204631800</t>
        </is>
      </c>
      <c r="M28" t="inlineStr">
        <is>
          <t xml:space="preserve">Декларация № ЕАЭС N RU Д-CN.РА02.В.44039/24, до 28.02.2029</t>
        </is>
      </c>
      <c r="N28" t="inlineStr">
        <is>
          <t xml:space="preserve">26 × 20 × 3</t>
        </is>
      </c>
      <c r="O28" t="inlineStr">
        <is>
          <t xml:space="preserve">0,32</t>
        </is>
      </c>
      <c r="P28" t="inlineStr">
        <is>
          <t xml:space="preserve">4816148152053</t>
        </is>
      </c>
      <c r="Q28" s="3" t="str">
        <f>HYPERLINK("https://modify.by/img/293259872/1.webp","фото")</f>
        <v>фото</v>
      </c>
      <c r="R28" s="3" t="str">
        <f>HYPERLINK("https://modify.by/catalog/bryuki/293259872/?utm_source=price&amp;utm_medium=xlsx","открыть")</f>
        <v>открыть</v>
      </c>
    </row>
    <row r="29">
      <c r="A29" t="inlineStr">
        <is>
          <t xml:space="preserve">Женский</t>
        </is>
      </c>
      <c r="B29" t="inlineStr">
        <is>
          <t xml:space="preserve">Брюки</t>
        </is>
      </c>
      <c r="C29" t="inlineStr">
        <is>
          <t xml:space="preserve">Брюки классические офисные зауженные дудочки, серый</t>
        </is>
      </c>
      <c r="D29" t="inlineStr">
        <is>
          <t xml:space="preserve">T3PA52W04серый</t>
        </is>
      </c>
      <c r="E29" t="inlineStr">
        <is>
          <t xml:space="preserve">серый</t>
        </is>
      </c>
      <c r="F29" t="inlineStr">
        <is>
          <t xml:space="preserve">48</t>
        </is>
      </c>
      <c r="G29">
        <v>6</v>
      </c>
      <c r="H29" s="2">
        <v>59.0</v>
      </c>
      <c r="I29" t="inlineStr">
        <is>
          <t xml:space="preserve">50% вискоза, 50% полиэстер</t>
        </is>
      </c>
      <c r="J29" t="inlineStr">
        <is>
          <t xml:space="preserve">демисезон</t>
        </is>
      </c>
      <c r="K29" t="inlineStr">
        <is>
          <t xml:space="preserve">Китай</t>
        </is>
      </c>
      <c r="L29" t="inlineStr">
        <is>
          <t xml:space="preserve">6204631800</t>
        </is>
      </c>
      <c r="M29" t="inlineStr">
        <is>
          <t xml:space="preserve">Декларация № ЕАЭС N RU Д-CN.РА02.В.44039/24, до 28.02.2029</t>
        </is>
      </c>
      <c r="N29" t="inlineStr">
        <is>
          <t xml:space="preserve">26 × 20 × 3</t>
        </is>
      </c>
      <c r="O29" t="inlineStr">
        <is>
          <t xml:space="preserve">0,32</t>
        </is>
      </c>
      <c r="P29" t="inlineStr">
        <is>
          <t xml:space="preserve">4816148152084</t>
        </is>
      </c>
      <c r="Q29" s="3" t="str">
        <f>HYPERLINK("https://modify.by/img/293259872/1.webp","фото")</f>
        <v>фото</v>
      </c>
      <c r="R29" s="3" t="str">
        <f>HYPERLINK("https://modify.by/catalog/bryuki/293259872/?utm_source=price&amp;utm_medium=xlsx","открыть")</f>
        <v>открыть</v>
      </c>
    </row>
    <row r="30">
      <c r="A30" t="inlineStr">
        <is>
          <t xml:space="preserve">Женский</t>
        </is>
      </c>
      <c r="B30" t="inlineStr">
        <is>
          <t xml:space="preserve">Брюки</t>
        </is>
      </c>
      <c r="C30" t="inlineStr">
        <is>
          <t xml:space="preserve">Брюки классические офисные зауженные дудочки, серый</t>
        </is>
      </c>
      <c r="D30" t="inlineStr">
        <is>
          <t xml:space="preserve">T3PA52W04серый</t>
        </is>
      </c>
      <c r="E30" t="inlineStr">
        <is>
          <t xml:space="preserve">серый</t>
        </is>
      </c>
      <c r="F30" t="inlineStr">
        <is>
          <t xml:space="preserve">50</t>
        </is>
      </c>
      <c r="G30">
        <v>3</v>
      </c>
      <c r="H30" s="2">
        <v>59.0</v>
      </c>
      <c r="I30" t="inlineStr">
        <is>
          <t xml:space="preserve">50% вискоза, 50% полиэстер</t>
        </is>
      </c>
      <c r="J30" t="inlineStr">
        <is>
          <t xml:space="preserve">демисезон</t>
        </is>
      </c>
      <c r="K30" t="inlineStr">
        <is>
          <t xml:space="preserve">Китай</t>
        </is>
      </c>
      <c r="L30" t="inlineStr">
        <is>
          <t xml:space="preserve">6204631800</t>
        </is>
      </c>
      <c r="M30" t="inlineStr">
        <is>
          <t xml:space="preserve">Декларация № ЕАЭС N RU Д-CN.РА02.В.44039/24, до 28.02.2029</t>
        </is>
      </c>
      <c r="N30" t="inlineStr">
        <is>
          <t xml:space="preserve">26 × 20 × 3</t>
        </is>
      </c>
      <c r="O30" t="inlineStr">
        <is>
          <t xml:space="preserve">0,32</t>
        </is>
      </c>
      <c r="P30" t="inlineStr">
        <is>
          <t xml:space="preserve">4816148152091</t>
        </is>
      </c>
      <c r="Q30" s="3" t="str">
        <f>HYPERLINK("https://modify.by/img/293259872/1.webp","фото")</f>
        <v>фото</v>
      </c>
      <c r="R30" s="3" t="str">
        <f>HYPERLINK("https://modify.by/catalog/bryuki/293259872/?utm_source=price&amp;utm_medium=xlsx","открыть")</f>
        <v>открыть</v>
      </c>
    </row>
    <row r="31">
      <c r="A31" t="inlineStr">
        <is>
          <t xml:space="preserve">Женский</t>
        </is>
      </c>
      <c r="B31" t="inlineStr">
        <is>
          <t xml:space="preserve">Брюки</t>
        </is>
      </c>
      <c r="C31" t="inlineStr">
        <is>
          <t xml:space="preserve">Брюки классические офисные зауженные дудочки, серый</t>
        </is>
      </c>
      <c r="D31" t="inlineStr">
        <is>
          <t xml:space="preserve">T3PA52W04серый</t>
        </is>
      </c>
      <c r="E31" t="inlineStr">
        <is>
          <t xml:space="preserve">серый</t>
        </is>
      </c>
      <c r="F31" t="inlineStr">
        <is>
          <t xml:space="preserve">52</t>
        </is>
      </c>
      <c r="G31">
        <v>1</v>
      </c>
      <c r="H31" s="2">
        <v>59.0</v>
      </c>
      <c r="I31" t="inlineStr">
        <is>
          <t xml:space="preserve">50% вискоза, 50% полиэстер</t>
        </is>
      </c>
      <c r="J31" t="inlineStr">
        <is>
          <t xml:space="preserve">демисезон</t>
        </is>
      </c>
      <c r="K31" t="inlineStr">
        <is>
          <t xml:space="preserve">Китай</t>
        </is>
      </c>
      <c r="L31" t="inlineStr">
        <is>
          <t xml:space="preserve">6204631800</t>
        </is>
      </c>
      <c r="M31" t="inlineStr">
        <is>
          <t xml:space="preserve">Декларация № ЕАЭС N RU Д-CN.РА02.В.44039/24, до 28.02.2029</t>
        </is>
      </c>
      <c r="N31" t="inlineStr">
        <is>
          <t xml:space="preserve">26 × 20 × 3</t>
        </is>
      </c>
      <c r="O31" t="inlineStr">
        <is>
          <t xml:space="preserve">0,32</t>
        </is>
      </c>
      <c r="P31" t="inlineStr">
        <is>
          <t xml:space="preserve">4816148152107</t>
        </is>
      </c>
      <c r="Q31" s="3" t="str">
        <f>HYPERLINK("https://modify.by/img/293259872/1.webp","фото")</f>
        <v>фото</v>
      </c>
      <c r="R31" s="3" t="str">
        <f>HYPERLINK("https://modify.by/catalog/bryuki/293259872/?utm_source=price&amp;utm_medium=xlsx","открыть")</f>
        <v>открыть</v>
      </c>
    </row>
    <row r="32">
      <c r="A32" t="inlineStr">
        <is>
          <t xml:space="preserve">Женский</t>
        </is>
      </c>
      <c r="B32" t="inlineStr">
        <is>
          <t xml:space="preserve">Брюки</t>
        </is>
      </c>
      <c r="C32" t="inlineStr">
        <is>
          <t xml:space="preserve">Брюки классические офисные зауженные дудочки, черный</t>
        </is>
      </c>
      <c r="D32" t="inlineStr">
        <is>
          <t xml:space="preserve">T3PA52W04черный</t>
        </is>
      </c>
      <c r="E32" t="inlineStr">
        <is>
          <t xml:space="preserve">черный</t>
        </is>
      </c>
      <c r="F32" t="inlineStr">
        <is>
          <t xml:space="preserve">52</t>
        </is>
      </c>
      <c r="G32">
        <v>1</v>
      </c>
      <c r="H32" s="2">
        <v>59.0</v>
      </c>
      <c r="I32" t="inlineStr">
        <is>
          <t xml:space="preserve">50% вискоза, 50% полиэстер</t>
        </is>
      </c>
      <c r="J32" t="inlineStr">
        <is>
          <t xml:space="preserve">демисезон</t>
        </is>
      </c>
      <c r="K32" t="inlineStr">
        <is>
          <t xml:space="preserve">Китай</t>
        </is>
      </c>
      <c r="L32" t="inlineStr">
        <is>
          <t xml:space="preserve">6204631800</t>
        </is>
      </c>
      <c r="M32" t="inlineStr">
        <is>
          <t xml:space="preserve">Декларация № ЕАЭС N RU Д-CN.РА02.В.44039/24, до 28.02.2029</t>
        </is>
      </c>
      <c r="N32" t="inlineStr">
        <is>
          <t xml:space="preserve">26 × 20 × 3</t>
        </is>
      </c>
      <c r="O32" t="inlineStr">
        <is>
          <t xml:space="preserve">0,32</t>
        </is>
      </c>
      <c r="P32" t="inlineStr">
        <is>
          <t xml:space="preserve">4816148152039</t>
        </is>
      </c>
      <c r="Q32" s="3" t="str">
        <f>HYPERLINK("https://modify.by/img/293259874/1.webp","фото")</f>
        <v>фото</v>
      </c>
      <c r="R32" s="3" t="str">
        <f>HYPERLINK("https://modify.by/catalog/bryuki/293259874/?utm_source=price&amp;utm_medium=xlsx","открыть")</f>
        <v>открыть</v>
      </c>
    </row>
    <row r="33">
      <c r="A33" t="inlineStr">
        <is>
          <t xml:space="preserve">Женский</t>
        </is>
      </c>
      <c r="B33" t="inlineStr">
        <is>
          <t xml:space="preserve">Брюки</t>
        </is>
      </c>
      <c r="C33" t="inlineStr">
        <is>
          <t xml:space="preserve">Брюки классические офисные зауженные дудочки, черный</t>
        </is>
      </c>
      <c r="D33" t="inlineStr">
        <is>
          <t xml:space="preserve">T3PA52W04черный</t>
        </is>
      </c>
      <c r="E33" t="inlineStr">
        <is>
          <t xml:space="preserve">черный</t>
        </is>
      </c>
      <c r="F33" t="inlineStr">
        <is>
          <t xml:space="preserve">54</t>
        </is>
      </c>
      <c r="G33">
        <v>1</v>
      </c>
      <c r="H33" s="2">
        <v>59.0</v>
      </c>
      <c r="I33" t="inlineStr">
        <is>
          <t xml:space="preserve">50% вискоза, 50% полиэстер</t>
        </is>
      </c>
      <c r="J33" t="inlineStr">
        <is>
          <t xml:space="preserve">демисезон</t>
        </is>
      </c>
      <c r="K33" t="inlineStr">
        <is>
          <t xml:space="preserve">Китай</t>
        </is>
      </c>
      <c r="L33" t="inlineStr">
        <is>
          <t xml:space="preserve">6204631800</t>
        </is>
      </c>
      <c r="M33" t="inlineStr">
        <is>
          <t xml:space="preserve">Декларация № ЕАЭС N RU Д-CN.РА02.В.44039/24, до 28.02.2029</t>
        </is>
      </c>
      <c r="N33" t="inlineStr">
        <is>
          <t xml:space="preserve">26 × 20 × 3</t>
        </is>
      </c>
      <c r="O33" t="inlineStr">
        <is>
          <t xml:space="preserve">0,32</t>
        </is>
      </c>
      <c r="P33" t="inlineStr">
        <is>
          <t xml:space="preserve">4816148152046</t>
        </is>
      </c>
      <c r="Q33" s="3" t="str">
        <f>HYPERLINK("https://modify.by/img/293259874/1.webp","фото")</f>
        <v>фото</v>
      </c>
      <c r="R33" s="3" t="str">
        <f>HYPERLINK("https://modify.by/catalog/bryuki/293259874/?utm_source=price&amp;utm_medium=xlsx","открыть")</f>
        <v>открыть</v>
      </c>
    </row>
    <row r="34">
      <c r="A34" t="inlineStr">
        <is>
          <t xml:space="preserve">Женский</t>
        </is>
      </c>
      <c r="B34" t="inlineStr">
        <is>
          <t xml:space="preserve">Брюки</t>
        </is>
      </c>
      <c r="C34" t="inlineStr">
        <is>
          <t xml:space="preserve">Брюки классические чиносы летние хлопок</t>
        </is>
      </c>
      <c r="D34" t="inlineStr">
        <is>
          <t xml:space="preserve">PA62W06белый_песок</t>
        </is>
      </c>
      <c r="E34" t="inlineStr">
        <is>
          <t xml:space="preserve">белый песок</t>
        </is>
      </c>
      <c r="F34" t="inlineStr">
        <is>
          <t xml:space="preserve">48</t>
        </is>
      </c>
      <c r="G34">
        <v>1</v>
      </c>
      <c r="H34" s="2">
        <v>37.0</v>
      </c>
      <c r="I34" t="inlineStr">
        <is>
          <t xml:space="preserve">98% хлопок, 2% эластан</t>
        </is>
      </c>
      <c r="J34" t="inlineStr">
        <is>
          <t xml:space="preserve">демисезон</t>
        </is>
      </c>
      <c r="K34" t="inlineStr">
        <is>
          <t xml:space="preserve">Бангладеш</t>
        </is>
      </c>
      <c r="L34" t="inlineStr">
        <is>
          <t xml:space="preserve">6204623900</t>
        </is>
      </c>
      <c r="M34" t="inlineStr">
        <is>
          <t xml:space="preserve">Декларация № ЕАЭС № BY/112 11.01. ТР017 122.01 08246, до 19.04.2028</t>
        </is>
      </c>
      <c r="N34" t="inlineStr">
        <is>
          <t xml:space="preserve">27 × 20 × 3</t>
        </is>
      </c>
      <c r="O34" t="inlineStr">
        <is>
          <t xml:space="preserve">0,4</t>
        </is>
      </c>
      <c r="P34" t="inlineStr">
        <is>
          <t xml:space="preserve">4816148181121</t>
        </is>
      </c>
      <c r="Q34" s="3" t="str">
        <f>HYPERLINK("https://modify.by/img/919247784/1.webp","фото")</f>
        <v>фото</v>
      </c>
      <c r="R34" s="3" t="str">
        <f>HYPERLINK("https://modify.by/catalog/bryuki/919247784/?utm_source=price&amp;utm_medium=xlsx","открыть")</f>
        <v>открыть</v>
      </c>
    </row>
    <row r="35">
      <c r="A35" t="inlineStr">
        <is>
          <t xml:space="preserve">Женский</t>
        </is>
      </c>
      <c r="B35" t="inlineStr">
        <is>
          <t xml:space="preserve">Брюки</t>
        </is>
      </c>
      <c r="C35" t="inlineStr">
        <is>
          <t xml:space="preserve">Брюки классические чиносы хлопок большие размеры, белый песок</t>
        </is>
      </c>
      <c r="D35" t="inlineStr">
        <is>
          <t xml:space="preserve">PA62W06_big_белый песок</t>
        </is>
      </c>
      <c r="E35" t="inlineStr">
        <is>
          <t xml:space="preserve">белый песок</t>
        </is>
      </c>
      <c r="F35" t="inlineStr">
        <is>
          <t xml:space="preserve">62</t>
        </is>
      </c>
      <c r="G35">
        <v>10</v>
      </c>
      <c r="H35" s="2">
        <v>37.0</v>
      </c>
      <c r="I35" t="inlineStr">
        <is>
          <t xml:space="preserve">98% хлопок, 2% эластан</t>
        </is>
      </c>
      <c r="J35" t="inlineStr">
        <is>
          <t xml:space="preserve">демисезон</t>
        </is>
      </c>
      <c r="K35" t="inlineStr">
        <is>
          <t xml:space="preserve">Бангладеш</t>
        </is>
      </c>
      <c r="L35" t="inlineStr">
        <is>
          <t xml:space="preserve">6204623900</t>
        </is>
      </c>
      <c r="M35" t="inlineStr">
        <is>
          <t xml:space="preserve">Декларация № ЕАЭС № BY/112 11.01. ТР017 122.01 08246, до 19.04.2028</t>
        </is>
      </c>
      <c r="N35" t="inlineStr">
        <is>
          <t xml:space="preserve">30 × 22 × 3</t>
        </is>
      </c>
      <c r="O35" t="inlineStr">
        <is>
          <t xml:space="preserve">0,43</t>
        </is>
      </c>
      <c r="P35" t="inlineStr">
        <is>
          <t xml:space="preserve">4816148181190</t>
        </is>
      </c>
      <c r="Q35" s="3" t="str">
        <f>HYPERLINK("https://modify.by/img/931376777/1.webp","фото")</f>
        <v>фото</v>
      </c>
      <c r="R35" s="3" t="str">
        <f>HYPERLINK("https://modify.by/catalog/bryuki/931376777/?utm_source=price&amp;utm_medium=xlsx","открыть")</f>
        <v>открыть</v>
      </c>
    </row>
    <row r="36">
      <c r="A36" t="inlineStr">
        <is>
          <t xml:space="preserve">Женский</t>
        </is>
      </c>
      <c r="B36" t="inlineStr">
        <is>
          <t xml:space="preserve">Брюки</t>
        </is>
      </c>
      <c r="C36" t="inlineStr">
        <is>
          <t xml:space="preserve">Брюки классические чиносы хлопок большие размеры, нежная мята</t>
        </is>
      </c>
      <c r="D36" t="inlineStr">
        <is>
          <t xml:space="preserve">PA62W06_big_светлая_мята</t>
        </is>
      </c>
      <c r="E36" t="inlineStr">
        <is>
          <t xml:space="preserve">нежная мята</t>
        </is>
      </c>
      <c r="F36" t="inlineStr">
        <is>
          <t xml:space="preserve">52</t>
        </is>
      </c>
      <c r="G36">
        <v>1</v>
      </c>
      <c r="H36" s="2">
        <v>37.0</v>
      </c>
      <c r="I36" t="inlineStr">
        <is>
          <t xml:space="preserve">98% хлопок, 2% эластан</t>
        </is>
      </c>
      <c r="J36" t="inlineStr">
        <is>
          <t xml:space="preserve">демисезон</t>
        </is>
      </c>
      <c r="K36" t="inlineStr">
        <is>
          <t xml:space="preserve">Бангладеш</t>
        </is>
      </c>
      <c r="L36" t="inlineStr">
        <is>
          <t xml:space="preserve">6204623900</t>
        </is>
      </c>
      <c r="M36" t="inlineStr">
        <is>
          <t xml:space="preserve">Декларация № ЕАЭС № BY/112 11.01. ТР017 122.01 08246, до 19.04.2028</t>
        </is>
      </c>
      <c r="N36" t="inlineStr">
        <is>
          <t xml:space="preserve">30 × 22 × 3</t>
        </is>
      </c>
      <c r="O36" t="inlineStr">
        <is>
          <t xml:space="preserve">0,43</t>
        </is>
      </c>
      <c r="P36" t="inlineStr">
        <is>
          <t xml:space="preserve">4816148180940</t>
        </is>
      </c>
      <c r="Q36" s="3" t="str">
        <f>HYPERLINK("https://modify.by/img/903057622/1.webp","фото")</f>
        <v>фото</v>
      </c>
      <c r="R36" s="3" t="str">
        <f>HYPERLINK("https://modify.by/catalog/bryuki/903057622/?utm_source=price&amp;utm_medium=xlsx","открыть")</f>
        <v>открыть</v>
      </c>
    </row>
    <row r="37">
      <c r="A37" t="inlineStr">
        <is>
          <t xml:space="preserve">Женский</t>
        </is>
      </c>
      <c r="B37" t="inlineStr">
        <is>
          <t xml:space="preserve">Брюки</t>
        </is>
      </c>
      <c r="C37" t="inlineStr">
        <is>
          <t xml:space="preserve">Брюки клеш классические</t>
        </is>
      </c>
      <c r="D37" t="inlineStr">
        <is>
          <t xml:space="preserve">PA442W1/5темно-зеленый</t>
        </is>
      </c>
      <c r="E37" t="inlineStr">
        <is>
          <t xml:space="preserve">темно-зеленый</t>
        </is>
      </c>
      <c r="F37" t="inlineStr">
        <is>
          <t xml:space="preserve">42</t>
        </is>
      </c>
      <c r="G37">
        <v>1</v>
      </c>
      <c r="H37" s="2">
        <v>70.0</v>
      </c>
      <c r="I37" t="inlineStr">
        <is>
          <t xml:space="preserve">100% полиэстер</t>
        </is>
      </c>
      <c r="J37" t="inlineStr">
        <is>
          <t xml:space="preserve">Круглогодичный</t>
        </is>
      </c>
      <c r="K37" t="inlineStr">
        <is>
          <t xml:space="preserve">Турция</t>
        </is>
      </c>
      <c r="L37" t="inlineStr">
        <is>
          <t xml:space="preserve">6204631800</t>
        </is>
      </c>
      <c r="M37" t="inlineStr">
        <is>
          <t xml:space="preserve">по запросу</t>
        </is>
      </c>
      <c r="N37" t="inlineStr">
        <is>
          <t xml:space="preserve">29 × 37 × 2</t>
        </is>
      </c>
      <c r="O37" t="inlineStr">
        <is>
          <t xml:space="preserve">0,45</t>
        </is>
      </c>
      <c r="P37" t="inlineStr">
        <is>
          <t xml:space="preserve">4816148114280</t>
        </is>
      </c>
      <c r="Q37" s="3" t="str">
        <f>HYPERLINK("https://modify.by/img/248213308/1.webp","фото")</f>
        <v>фото</v>
      </c>
      <c r="R37" s="3" t="str">
        <f>HYPERLINK("https://modify.by/catalog/bryuki/248213308/?utm_source=price&amp;utm_medium=xlsx","открыть")</f>
        <v>открыть</v>
      </c>
    </row>
    <row r="38">
      <c r="A38" t="inlineStr">
        <is>
          <t xml:space="preserve">Женский</t>
        </is>
      </c>
      <c r="B38" t="inlineStr">
        <is>
          <t xml:space="preserve">Брюки</t>
        </is>
      </c>
      <c r="C38" t="inlineStr">
        <is>
          <t xml:space="preserve">Брюки легкие домашние на резинке хлопок</t>
        </is>
      </c>
      <c r="D38" t="inlineStr">
        <is>
          <t xml:space="preserve">PA42W03хаки</t>
        </is>
      </c>
      <c r="E38" t="inlineStr">
        <is>
          <t xml:space="preserve">хаки</t>
        </is>
      </c>
      <c r="F38" t="inlineStr">
        <is>
          <t xml:space="preserve">44</t>
        </is>
      </c>
      <c r="G38">
        <v>12</v>
      </c>
      <c r="H38" s="2">
        <v>25.0</v>
      </c>
      <c r="I38" t="inlineStr">
        <is>
          <t xml:space="preserve">хлопок 100%</t>
        </is>
      </c>
      <c r="J38" t="inlineStr">
        <is>
          <t xml:space="preserve">демисезон</t>
        </is>
      </c>
      <c r="K38" t="inlineStr">
        <is>
          <t xml:space="preserve">Бангладеш</t>
        </is>
      </c>
      <c r="L38" t="inlineStr">
        <is>
          <t xml:space="preserve">6204623900</t>
        </is>
      </c>
      <c r="M38" t="inlineStr">
        <is>
          <t xml:space="preserve">Декларация № ЕАЭС № BY/112 11.01. ТР017 122.01 08246, до 19.04.2028</t>
        </is>
      </c>
      <c r="N38" t="inlineStr">
        <is>
          <t xml:space="preserve">32 × 25 × 2</t>
        </is>
      </c>
      <c r="O38" t="inlineStr">
        <is>
          <t xml:space="preserve">0,36</t>
        </is>
      </c>
      <c r="P38" t="inlineStr">
        <is>
          <t xml:space="preserve">4816148101167</t>
        </is>
      </c>
      <c r="Q38" s="3" t="str">
        <f>HYPERLINK("https://modify.by/img/234681642/1.webp","фото")</f>
        <v>фото</v>
      </c>
      <c r="R38" s="3" t="str">
        <f>HYPERLINK("https://modify.by/catalog/bryuki/234681642/?utm_source=price&amp;utm_medium=xlsx","открыть")</f>
        <v>открыть</v>
      </c>
    </row>
    <row r="39">
      <c r="A39" t="inlineStr">
        <is>
          <t xml:space="preserve">Женский</t>
        </is>
      </c>
      <c r="B39" t="inlineStr">
        <is>
          <t xml:space="preserve">Брюки</t>
        </is>
      </c>
      <c r="C39" t="inlineStr">
        <is>
          <t xml:space="preserve">Брюки легкие домашние на резинке хлопок</t>
        </is>
      </c>
      <c r="D39" t="inlineStr">
        <is>
          <t xml:space="preserve">PA42W03хаки</t>
        </is>
      </c>
      <c r="E39" t="inlineStr">
        <is>
          <t xml:space="preserve">хаки</t>
        </is>
      </c>
      <c r="F39" t="inlineStr">
        <is>
          <t xml:space="preserve">46</t>
        </is>
      </c>
      <c r="G39">
        <v>19</v>
      </c>
      <c r="H39" s="2">
        <v>25.0</v>
      </c>
      <c r="I39" t="inlineStr">
        <is>
          <t xml:space="preserve">хлопок 100%</t>
        </is>
      </c>
      <c r="J39" t="inlineStr">
        <is>
          <t xml:space="preserve">демисезон</t>
        </is>
      </c>
      <c r="K39" t="inlineStr">
        <is>
          <t xml:space="preserve">Бангладеш</t>
        </is>
      </c>
      <c r="L39" t="inlineStr">
        <is>
          <t xml:space="preserve">6204623900</t>
        </is>
      </c>
      <c r="M39" t="inlineStr">
        <is>
          <t xml:space="preserve">Декларация № ЕАЭС № BY/112 11.01. ТР017 122.01 08246, до 19.04.2028</t>
        </is>
      </c>
      <c r="N39" t="inlineStr">
        <is>
          <t xml:space="preserve">32 × 25 × 2</t>
        </is>
      </c>
      <c r="O39" t="inlineStr">
        <is>
          <t xml:space="preserve">0,36</t>
        </is>
      </c>
      <c r="P39" t="inlineStr">
        <is>
          <t xml:space="preserve">4816148101174</t>
        </is>
      </c>
      <c r="Q39" s="3" t="str">
        <f>HYPERLINK("https://modify.by/img/234681642/1.webp","фото")</f>
        <v>фото</v>
      </c>
      <c r="R39" s="3" t="str">
        <f>HYPERLINK("https://modify.by/catalog/bryuki/234681642/?utm_source=price&amp;utm_medium=xlsx","открыть")</f>
        <v>открыть</v>
      </c>
    </row>
    <row r="40">
      <c r="A40" t="inlineStr">
        <is>
          <t xml:space="preserve">Женский</t>
        </is>
      </c>
      <c r="B40" t="inlineStr">
        <is>
          <t xml:space="preserve">Брюки</t>
        </is>
      </c>
      <c r="C40" t="inlineStr">
        <is>
          <t xml:space="preserve">Брюки легкие домашние на резинке хлопок</t>
        </is>
      </c>
      <c r="D40" t="inlineStr">
        <is>
          <t xml:space="preserve">PA42W03хаки</t>
        </is>
      </c>
      <c r="E40" t="inlineStr">
        <is>
          <t xml:space="preserve">хаки</t>
        </is>
      </c>
      <c r="F40" t="inlineStr">
        <is>
          <t xml:space="preserve">48</t>
        </is>
      </c>
      <c r="G40">
        <v>24</v>
      </c>
      <c r="H40" s="2">
        <v>25.0</v>
      </c>
      <c r="I40" t="inlineStr">
        <is>
          <t xml:space="preserve">хлопок 100%</t>
        </is>
      </c>
      <c r="J40" t="inlineStr">
        <is>
          <t xml:space="preserve">демисезон</t>
        </is>
      </c>
      <c r="K40" t="inlineStr">
        <is>
          <t xml:space="preserve">Бангладеш</t>
        </is>
      </c>
      <c r="L40" t="inlineStr">
        <is>
          <t xml:space="preserve">6204623900</t>
        </is>
      </c>
      <c r="M40" t="inlineStr">
        <is>
          <t xml:space="preserve">Декларация № ЕАЭС № BY/112 11.01. ТР017 122.01 08246, до 19.04.2028</t>
        </is>
      </c>
      <c r="N40" t="inlineStr">
        <is>
          <t xml:space="preserve">32 × 25 × 2</t>
        </is>
      </c>
      <c r="O40" t="inlineStr">
        <is>
          <t xml:space="preserve">0,36</t>
        </is>
      </c>
      <c r="P40" t="inlineStr">
        <is>
          <t xml:space="preserve">4816148101181</t>
        </is>
      </c>
      <c r="Q40" s="3" t="str">
        <f>HYPERLINK("https://modify.by/img/234681642/1.webp","фото")</f>
        <v>фото</v>
      </c>
      <c r="R40" s="3" t="str">
        <f>HYPERLINK("https://modify.by/catalog/bryuki/234681642/?utm_source=price&amp;utm_medium=xlsx","открыть")</f>
        <v>открыть</v>
      </c>
    </row>
    <row r="41">
      <c r="A41" t="inlineStr">
        <is>
          <t xml:space="preserve">Женский</t>
        </is>
      </c>
      <c r="B41" t="inlineStr">
        <is>
          <t xml:space="preserve">Брюки</t>
        </is>
      </c>
      <c r="C41" t="inlineStr">
        <is>
          <t xml:space="preserve">Брюки летние палаццо легкие немнущиеся, белый</t>
        </is>
      </c>
      <c r="D41" t="inlineStr">
        <is>
          <t xml:space="preserve">PA52W03Белый</t>
        </is>
      </c>
      <c r="E41" t="inlineStr">
        <is>
          <t xml:space="preserve">белый</t>
        </is>
      </c>
      <c r="F41" t="inlineStr">
        <is>
          <t xml:space="preserve">46</t>
        </is>
      </c>
      <c r="G41">
        <v>7</v>
      </c>
      <c r="H41" s="2">
        <v>46.0</v>
      </c>
      <c r="I41" t="inlineStr">
        <is>
          <t xml:space="preserve">60% хлопок, 35% полиэфирные волокна, 5% эластан</t>
        </is>
      </c>
      <c r="J41" t="inlineStr">
        <is>
          <t xml:space="preserve">лето</t>
        </is>
      </c>
      <c r="K41" t="inlineStr">
        <is>
          <t xml:space="preserve">Бангладеш</t>
        </is>
      </c>
      <c r="L41" t="inlineStr">
        <is>
          <t xml:space="preserve">6204623900</t>
        </is>
      </c>
      <c r="M41" t="inlineStr">
        <is>
          <t xml:space="preserve">Декларация № ЕАЭС № BY/112 11.01. ТР017 122.01 08246, до 19.04.2028</t>
        </is>
      </c>
      <c r="N41" t="inlineStr">
        <is>
          <t xml:space="preserve">35 × 30 × 3</t>
        </is>
      </c>
      <c r="O41" t="inlineStr">
        <is>
          <t xml:space="preserve">0,4</t>
        </is>
      </c>
      <c r="P41" t="inlineStr">
        <is>
          <t xml:space="preserve">4816148157560</t>
        </is>
      </c>
      <c r="Q41" s="3" t="str">
        <f>HYPERLINK("https://modify.by/img/348649926/1.webp","фото")</f>
        <v>фото</v>
      </c>
      <c r="R41" s="3" t="str">
        <f>HYPERLINK("https://modify.by/catalog/bryuki/348649926/?utm_source=price&amp;utm_medium=xlsx","открыть")</f>
        <v>открыть</v>
      </c>
    </row>
    <row r="42">
      <c r="A42" t="inlineStr">
        <is>
          <t xml:space="preserve">Женский</t>
        </is>
      </c>
      <c r="B42" t="inlineStr">
        <is>
          <t xml:space="preserve">Брюки</t>
        </is>
      </c>
      <c r="C42" t="inlineStr">
        <is>
          <t xml:space="preserve">Брюки летние палаццо легкие немнущиеся, белый</t>
        </is>
      </c>
      <c r="D42" t="inlineStr">
        <is>
          <t xml:space="preserve">PA52W03Белый</t>
        </is>
      </c>
      <c r="E42" t="inlineStr">
        <is>
          <t xml:space="preserve">белый</t>
        </is>
      </c>
      <c r="F42" t="inlineStr">
        <is>
          <t xml:space="preserve">48</t>
        </is>
      </c>
      <c r="G42">
        <v>21</v>
      </c>
      <c r="H42" s="2">
        <v>46.0</v>
      </c>
      <c r="I42" t="inlineStr">
        <is>
          <t xml:space="preserve">60% хлопок, 35% полиэфирные волокна, 5% эластан</t>
        </is>
      </c>
      <c r="J42" t="inlineStr">
        <is>
          <t xml:space="preserve">лето</t>
        </is>
      </c>
      <c r="K42" t="inlineStr">
        <is>
          <t xml:space="preserve">Бангладеш</t>
        </is>
      </c>
      <c r="L42" t="inlineStr">
        <is>
          <t xml:space="preserve">6204623900</t>
        </is>
      </c>
      <c r="M42" t="inlineStr">
        <is>
          <t xml:space="preserve">Декларация № ЕАЭС № BY/112 11.01. ТР017 122.01 08246, до 19.04.2028</t>
        </is>
      </c>
      <c r="N42" t="inlineStr">
        <is>
          <t xml:space="preserve">35 × 30 × 3</t>
        </is>
      </c>
      <c r="O42" t="inlineStr">
        <is>
          <t xml:space="preserve">0,4</t>
        </is>
      </c>
      <c r="P42" t="inlineStr">
        <is>
          <t xml:space="preserve">4816148157577</t>
        </is>
      </c>
      <c r="Q42" s="3" t="str">
        <f>HYPERLINK("https://modify.by/img/348649926/1.webp","фото")</f>
        <v>фото</v>
      </c>
      <c r="R42" s="3" t="str">
        <f>HYPERLINK("https://modify.by/catalog/bryuki/348649926/?utm_source=price&amp;utm_medium=xlsx","открыть")</f>
        <v>открыть</v>
      </c>
    </row>
    <row r="43">
      <c r="A43" t="inlineStr">
        <is>
          <t xml:space="preserve">Женский</t>
        </is>
      </c>
      <c r="B43" t="inlineStr">
        <is>
          <t xml:space="preserve">Брюки</t>
        </is>
      </c>
      <c r="C43" t="inlineStr">
        <is>
          <t xml:space="preserve">Брюки летние палаццо легкие немнущиеся, белый</t>
        </is>
      </c>
      <c r="D43" t="inlineStr">
        <is>
          <t xml:space="preserve">PA52W03Белый</t>
        </is>
      </c>
      <c r="E43" t="inlineStr">
        <is>
          <t xml:space="preserve">белый</t>
        </is>
      </c>
      <c r="F43" t="inlineStr">
        <is>
          <t xml:space="preserve">50</t>
        </is>
      </c>
      <c r="G43">
        <v>43</v>
      </c>
      <c r="H43" s="2">
        <v>46.0</v>
      </c>
      <c r="I43" t="inlineStr">
        <is>
          <t xml:space="preserve">60% хлопок, 35% полиэфирные волокна, 5% эластан</t>
        </is>
      </c>
      <c r="J43" t="inlineStr">
        <is>
          <t xml:space="preserve">лето</t>
        </is>
      </c>
      <c r="K43" t="inlineStr">
        <is>
          <t xml:space="preserve">Бангладеш</t>
        </is>
      </c>
      <c r="L43" t="inlineStr">
        <is>
          <t xml:space="preserve">6204623900</t>
        </is>
      </c>
      <c r="M43" t="inlineStr">
        <is>
          <t xml:space="preserve">Декларация № ЕАЭС № BY/112 11.01. ТР017 122.01 08246, до 19.04.2028</t>
        </is>
      </c>
      <c r="N43" t="inlineStr">
        <is>
          <t xml:space="preserve">35 × 30 × 3</t>
        </is>
      </c>
      <c r="O43" t="inlineStr">
        <is>
          <t xml:space="preserve">0,4</t>
        </is>
      </c>
      <c r="P43" t="inlineStr">
        <is>
          <t xml:space="preserve">4816148157584</t>
        </is>
      </c>
      <c r="Q43" s="3" t="str">
        <f>HYPERLINK("https://modify.by/img/348649926/1.webp","фото")</f>
        <v>фото</v>
      </c>
      <c r="R43" s="3" t="str">
        <f>HYPERLINK("https://modify.by/catalog/bryuki/348649926/?utm_source=price&amp;utm_medium=xlsx","открыть")</f>
        <v>открыть</v>
      </c>
    </row>
    <row r="44">
      <c r="A44" t="inlineStr">
        <is>
          <t xml:space="preserve">Женский</t>
        </is>
      </c>
      <c r="B44" t="inlineStr">
        <is>
          <t xml:space="preserve">Брюки</t>
        </is>
      </c>
      <c r="C44" t="inlineStr">
        <is>
          <t xml:space="preserve">Брюки летние палаццо легкие немнущиеся, белый</t>
        </is>
      </c>
      <c r="D44" t="inlineStr">
        <is>
          <t xml:space="preserve">PA52W03Белый</t>
        </is>
      </c>
      <c r="E44" t="inlineStr">
        <is>
          <t xml:space="preserve">белый</t>
        </is>
      </c>
      <c r="F44" t="inlineStr">
        <is>
          <t xml:space="preserve">52</t>
        </is>
      </c>
      <c r="G44">
        <v>59</v>
      </c>
      <c r="H44" s="2">
        <v>46.0</v>
      </c>
      <c r="I44" t="inlineStr">
        <is>
          <t xml:space="preserve">60% хлопок, 35% полиэфирные волокна, 5% эластан</t>
        </is>
      </c>
      <c r="J44" t="inlineStr">
        <is>
          <t xml:space="preserve">лето</t>
        </is>
      </c>
      <c r="K44" t="inlineStr">
        <is>
          <t xml:space="preserve">Бангладеш</t>
        </is>
      </c>
      <c r="L44" t="inlineStr">
        <is>
          <t xml:space="preserve">6204623900</t>
        </is>
      </c>
      <c r="M44" t="inlineStr">
        <is>
          <t xml:space="preserve">Декларация № ЕАЭС № BY/112 11.01. ТР017 122.01 08246, до 19.04.2028</t>
        </is>
      </c>
      <c r="N44" t="inlineStr">
        <is>
          <t xml:space="preserve">35 × 30 × 3</t>
        </is>
      </c>
      <c r="O44" t="inlineStr">
        <is>
          <t xml:space="preserve">0,4</t>
        </is>
      </c>
      <c r="P44" t="inlineStr">
        <is>
          <t xml:space="preserve">4816148157591</t>
        </is>
      </c>
      <c r="Q44" s="3" t="str">
        <f>HYPERLINK("https://modify.by/img/348649926/1.webp","фото")</f>
        <v>фото</v>
      </c>
      <c r="R44" s="3" t="str">
        <f>HYPERLINK("https://modify.by/catalog/bryuki/348649926/?utm_source=price&amp;utm_medium=xlsx","открыть")</f>
        <v>открыть</v>
      </c>
    </row>
    <row r="45">
      <c r="A45" t="inlineStr">
        <is>
          <t xml:space="preserve">Женский</t>
        </is>
      </c>
      <c r="B45" t="inlineStr">
        <is>
          <t xml:space="preserve">Брюки</t>
        </is>
      </c>
      <c r="C45" t="inlineStr">
        <is>
          <t xml:space="preserve">Брюки летние палаццо легкие немнущиеся, белый</t>
        </is>
      </c>
      <c r="D45" t="inlineStr">
        <is>
          <t xml:space="preserve">PA52W03Белый</t>
        </is>
      </c>
      <c r="E45" t="inlineStr">
        <is>
          <t xml:space="preserve">белый</t>
        </is>
      </c>
      <c r="F45" t="inlineStr">
        <is>
          <t xml:space="preserve">54</t>
        </is>
      </c>
      <c r="G45">
        <v>36</v>
      </c>
      <c r="H45" s="2">
        <v>46.0</v>
      </c>
      <c r="I45" t="inlineStr">
        <is>
          <t xml:space="preserve">60% хлопок, 35% полиэфирные волокна, 5% эластан</t>
        </is>
      </c>
      <c r="J45" t="inlineStr">
        <is>
          <t xml:space="preserve">лето</t>
        </is>
      </c>
      <c r="K45" t="inlineStr">
        <is>
          <t xml:space="preserve">Бангладеш</t>
        </is>
      </c>
      <c r="L45" t="inlineStr">
        <is>
          <t xml:space="preserve">6204623900</t>
        </is>
      </c>
      <c r="M45" t="inlineStr">
        <is>
          <t xml:space="preserve">Декларация № ЕАЭС № BY/112 11.01. ТР017 122.01 08246, до 19.04.2028</t>
        </is>
      </c>
      <c r="N45" t="inlineStr">
        <is>
          <t xml:space="preserve">35 × 30 × 3</t>
        </is>
      </c>
      <c r="O45" t="inlineStr">
        <is>
          <t xml:space="preserve">0,4</t>
        </is>
      </c>
      <c r="P45" t="inlineStr">
        <is>
          <t xml:space="preserve">4816148157607</t>
        </is>
      </c>
      <c r="Q45" s="3" t="str">
        <f>HYPERLINK("https://modify.by/img/348649926/1.webp","фото")</f>
        <v>фото</v>
      </c>
      <c r="R45" s="3" t="str">
        <f>HYPERLINK("https://modify.by/catalog/bryuki/348649926/?utm_source=price&amp;utm_medium=xlsx","открыть")</f>
        <v>открыть</v>
      </c>
    </row>
    <row r="46">
      <c r="A46" t="inlineStr">
        <is>
          <t xml:space="preserve">Женский</t>
        </is>
      </c>
      <c r="B46" t="inlineStr">
        <is>
          <t xml:space="preserve">Брюки</t>
        </is>
      </c>
      <c r="C46" t="inlineStr">
        <is>
          <t xml:space="preserve">Брюки летние палаццо легкие немнущиеся, голубой</t>
        </is>
      </c>
      <c r="D46" t="inlineStr">
        <is>
          <t xml:space="preserve">PA52W03Голубой</t>
        </is>
      </c>
      <c r="E46" t="inlineStr">
        <is>
          <t xml:space="preserve">голубой</t>
        </is>
      </c>
      <c r="F46" t="inlineStr">
        <is>
          <t xml:space="preserve">48</t>
        </is>
      </c>
      <c r="G46">
        <v>43</v>
      </c>
      <c r="H46" s="2">
        <v>46.0</v>
      </c>
      <c r="I46" t="inlineStr">
        <is>
          <t xml:space="preserve">60% хлопок, 30% полиэфирные волокна, 5% эластан</t>
        </is>
      </c>
      <c r="J46" t="inlineStr">
        <is>
          <t xml:space="preserve">лето</t>
        </is>
      </c>
      <c r="K46" t="inlineStr">
        <is>
          <t xml:space="preserve">Бангладеш</t>
        </is>
      </c>
      <c r="L46" t="inlineStr">
        <is>
          <t xml:space="preserve">6204623900</t>
        </is>
      </c>
      <c r="M46" t="inlineStr">
        <is>
          <t xml:space="preserve">Декларация № ЕАЭС № BY/112 11.01. ТР017 122.01 08246, до 19.04.2028</t>
        </is>
      </c>
      <c r="N46" t="inlineStr">
        <is>
          <t xml:space="preserve">35 × 30 × 3</t>
        </is>
      </c>
      <c r="O46" t="inlineStr">
        <is>
          <t xml:space="preserve">0,4</t>
        </is>
      </c>
      <c r="P46" t="inlineStr">
        <is>
          <t xml:space="preserve">4816148157515</t>
        </is>
      </c>
      <c r="Q46" s="3" t="str">
        <f>HYPERLINK("https://modify.by/img/348649925/1.webp","фото")</f>
        <v>фото</v>
      </c>
      <c r="R46" s="3" t="str">
        <f>HYPERLINK("https://modify.by/catalog/bryuki/348649925/?utm_source=price&amp;utm_medium=xlsx","открыть")</f>
        <v>открыть</v>
      </c>
    </row>
    <row r="47">
      <c r="A47" t="inlineStr">
        <is>
          <t xml:space="preserve">Женский</t>
        </is>
      </c>
      <c r="B47" t="inlineStr">
        <is>
          <t xml:space="preserve">Брюки</t>
        </is>
      </c>
      <c r="C47" t="inlineStr">
        <is>
          <t xml:space="preserve">Брюки летние палаццо легкие немнущиеся, голубой</t>
        </is>
      </c>
      <c r="D47" t="inlineStr">
        <is>
          <t xml:space="preserve">PA52W03Голубой</t>
        </is>
      </c>
      <c r="E47" t="inlineStr">
        <is>
          <t xml:space="preserve">голубой</t>
        </is>
      </c>
      <c r="F47" t="inlineStr">
        <is>
          <t xml:space="preserve">50</t>
        </is>
      </c>
      <c r="G47">
        <v>27</v>
      </c>
      <c r="H47" s="2">
        <v>46.0</v>
      </c>
      <c r="I47" t="inlineStr">
        <is>
          <t xml:space="preserve">60% хлопок, 30% полиэфирные волокна, 5% эластан</t>
        </is>
      </c>
      <c r="J47" t="inlineStr">
        <is>
          <t xml:space="preserve">лето</t>
        </is>
      </c>
      <c r="K47" t="inlineStr">
        <is>
          <t xml:space="preserve">Бангладеш</t>
        </is>
      </c>
      <c r="L47" t="inlineStr">
        <is>
          <t xml:space="preserve">6204623900</t>
        </is>
      </c>
      <c r="M47" t="inlineStr">
        <is>
          <t xml:space="preserve">Декларация № ЕАЭС № BY/112 11.01. ТР017 122.01 08246, до 19.04.2028</t>
        </is>
      </c>
      <c r="N47" t="inlineStr">
        <is>
          <t xml:space="preserve">35 × 30 × 3</t>
        </is>
      </c>
      <c r="O47" t="inlineStr">
        <is>
          <t xml:space="preserve">0,4</t>
        </is>
      </c>
      <c r="P47" t="inlineStr">
        <is>
          <t xml:space="preserve">4816148157522</t>
        </is>
      </c>
      <c r="Q47" s="3" t="str">
        <f>HYPERLINK("https://modify.by/img/348649925/1.webp","фото")</f>
        <v>фото</v>
      </c>
      <c r="R47" s="3" t="str">
        <f>HYPERLINK("https://modify.by/catalog/bryuki/348649925/?utm_source=price&amp;utm_medium=xlsx","открыть")</f>
        <v>открыть</v>
      </c>
    </row>
    <row r="48">
      <c r="A48" t="inlineStr">
        <is>
          <t xml:space="preserve">Женский</t>
        </is>
      </c>
      <c r="B48" t="inlineStr">
        <is>
          <t xml:space="preserve">Брюки</t>
        </is>
      </c>
      <c r="C48" t="inlineStr">
        <is>
          <t xml:space="preserve">Брюки летние палаццо легкие немнущиеся, голубой</t>
        </is>
      </c>
      <c r="D48" t="inlineStr">
        <is>
          <t xml:space="preserve">PA52W03Голубой</t>
        </is>
      </c>
      <c r="E48" t="inlineStr">
        <is>
          <t xml:space="preserve">голубой</t>
        </is>
      </c>
      <c r="F48" t="inlineStr">
        <is>
          <t xml:space="preserve">52</t>
        </is>
      </c>
      <c r="G48">
        <v>45</v>
      </c>
      <c r="H48" s="2">
        <v>46.0</v>
      </c>
      <c r="I48" t="inlineStr">
        <is>
          <t xml:space="preserve">60% хлопок, 30% полиэфирные волокна, 5% эластан</t>
        </is>
      </c>
      <c r="J48" t="inlineStr">
        <is>
          <t xml:space="preserve">лето</t>
        </is>
      </c>
      <c r="K48" t="inlineStr">
        <is>
          <t xml:space="preserve">Бангладеш</t>
        </is>
      </c>
      <c r="L48" t="inlineStr">
        <is>
          <t xml:space="preserve">6204623900</t>
        </is>
      </c>
      <c r="M48" t="inlineStr">
        <is>
          <t xml:space="preserve">Декларация № ЕАЭС № BY/112 11.01. ТР017 122.01 08246, до 19.04.2028</t>
        </is>
      </c>
      <c r="N48" t="inlineStr">
        <is>
          <t xml:space="preserve">35 × 30 × 3</t>
        </is>
      </c>
      <c r="O48" t="inlineStr">
        <is>
          <t xml:space="preserve">0,4</t>
        </is>
      </c>
      <c r="P48" t="inlineStr">
        <is>
          <t xml:space="preserve">4816148157539</t>
        </is>
      </c>
      <c r="Q48" s="3" t="str">
        <f>HYPERLINK("https://modify.by/img/348649925/1.webp","фото")</f>
        <v>фото</v>
      </c>
      <c r="R48" s="3" t="str">
        <f>HYPERLINK("https://modify.by/catalog/bryuki/348649925/?utm_source=price&amp;utm_medium=xlsx","открыть")</f>
        <v>открыть</v>
      </c>
    </row>
    <row r="49">
      <c r="A49" t="inlineStr">
        <is>
          <t xml:space="preserve">Женский</t>
        </is>
      </c>
      <c r="B49" t="inlineStr">
        <is>
          <t xml:space="preserve">Брюки</t>
        </is>
      </c>
      <c r="C49" t="inlineStr">
        <is>
          <t xml:space="preserve">Брюки летние палаццо легкие немнущиеся, голубой</t>
        </is>
      </c>
      <c r="D49" t="inlineStr">
        <is>
          <t xml:space="preserve">PA52W03Голубой</t>
        </is>
      </c>
      <c r="E49" t="inlineStr">
        <is>
          <t xml:space="preserve">голубой</t>
        </is>
      </c>
      <c r="F49" t="inlineStr">
        <is>
          <t xml:space="preserve">54</t>
        </is>
      </c>
      <c r="G49">
        <v>22</v>
      </c>
      <c r="H49" s="2">
        <v>46.0</v>
      </c>
      <c r="I49" t="inlineStr">
        <is>
          <t xml:space="preserve">60% хлопок, 30% полиэфирные волокна, 5% эластан</t>
        </is>
      </c>
      <c r="J49" t="inlineStr">
        <is>
          <t xml:space="preserve">лето</t>
        </is>
      </c>
      <c r="K49" t="inlineStr">
        <is>
          <t xml:space="preserve">Бангладеш</t>
        </is>
      </c>
      <c r="L49" t="inlineStr">
        <is>
          <t xml:space="preserve">6204623900</t>
        </is>
      </c>
      <c r="M49" t="inlineStr">
        <is>
          <t xml:space="preserve">Декларация № ЕАЭС № BY/112 11.01. ТР017 122.01 08246, до 19.04.2028</t>
        </is>
      </c>
      <c r="N49" t="inlineStr">
        <is>
          <t xml:space="preserve">35 × 30 × 3</t>
        </is>
      </c>
      <c r="O49" t="inlineStr">
        <is>
          <t xml:space="preserve">0,4</t>
        </is>
      </c>
      <c r="P49" t="inlineStr">
        <is>
          <t xml:space="preserve">4816148157546</t>
        </is>
      </c>
      <c r="Q49" s="3" t="str">
        <f>HYPERLINK("https://modify.by/img/348649925/1.webp","фото")</f>
        <v>фото</v>
      </c>
      <c r="R49" s="3" t="str">
        <f>HYPERLINK("https://modify.by/catalog/bryuki/348649925/?utm_source=price&amp;utm_medium=xlsx","открыть")</f>
        <v>открыть</v>
      </c>
    </row>
    <row r="50">
      <c r="A50" t="inlineStr">
        <is>
          <t xml:space="preserve">Женский</t>
        </is>
      </c>
      <c r="B50" t="inlineStr">
        <is>
          <t xml:space="preserve">Брюки</t>
        </is>
      </c>
      <c r="C50" t="inlineStr">
        <is>
          <t xml:space="preserve">Брюки летние палаццо легкие немнущиеся, песочный</t>
        </is>
      </c>
      <c r="D50" t="inlineStr">
        <is>
          <t xml:space="preserve">PA52W03Песочный</t>
        </is>
      </c>
      <c r="E50" t="inlineStr">
        <is>
          <t xml:space="preserve">песочный</t>
        </is>
      </c>
      <c r="F50" t="inlineStr">
        <is>
          <t xml:space="preserve">48</t>
        </is>
      </c>
      <c r="G50">
        <v>15</v>
      </c>
      <c r="H50" s="2">
        <v>46.0</v>
      </c>
      <c r="I50" t="inlineStr">
        <is>
          <t xml:space="preserve">60% хлопок, 35% полиэфирные волокна, 5% эластан</t>
        </is>
      </c>
      <c r="J50" t="inlineStr">
        <is>
          <t xml:space="preserve">лето</t>
        </is>
      </c>
      <c r="K50" t="inlineStr">
        <is>
          <t xml:space="preserve">Бангладеш</t>
        </is>
      </c>
      <c r="L50" t="inlineStr">
        <is>
          <t xml:space="preserve">6204623900</t>
        </is>
      </c>
      <c r="M50" t="inlineStr">
        <is>
          <t xml:space="preserve">Декларация № ЕАЭС № BY/112 11.01. ТР017 122.01 08246, до 19.04.2028</t>
        </is>
      </c>
      <c r="N50" t="inlineStr">
        <is>
          <t xml:space="preserve">35 × 30 × 3</t>
        </is>
      </c>
      <c r="O50" t="inlineStr">
        <is>
          <t xml:space="preserve">0,4</t>
        </is>
      </c>
      <c r="P50" t="inlineStr">
        <is>
          <t xml:space="preserve">4816148157690</t>
        </is>
      </c>
      <c r="Q50" s="3" t="str">
        <f>HYPERLINK("https://modify.by/img/348649929/1.webp","фото")</f>
        <v>фото</v>
      </c>
      <c r="R50" s="3" t="str">
        <f>HYPERLINK("https://modify.by/catalog/bryuki/348649929/?utm_source=price&amp;utm_medium=xlsx","открыть")</f>
        <v>открыть</v>
      </c>
    </row>
    <row r="51">
      <c r="A51" t="inlineStr">
        <is>
          <t xml:space="preserve">Женский</t>
        </is>
      </c>
      <c r="B51" t="inlineStr">
        <is>
          <t xml:space="preserve">Брюки</t>
        </is>
      </c>
      <c r="C51" t="inlineStr">
        <is>
          <t xml:space="preserve">Брюки летние палаццо легкие немнущиеся, песочный</t>
        </is>
      </c>
      <c r="D51" t="inlineStr">
        <is>
          <t xml:space="preserve">PA52W03Песочный</t>
        </is>
      </c>
      <c r="E51" t="inlineStr">
        <is>
          <t xml:space="preserve">песочный</t>
        </is>
      </c>
      <c r="F51" t="inlineStr">
        <is>
          <t xml:space="preserve">50</t>
        </is>
      </c>
      <c r="G51">
        <v>17</v>
      </c>
      <c r="H51" s="2">
        <v>46.0</v>
      </c>
      <c r="I51" t="inlineStr">
        <is>
          <t xml:space="preserve">60% хлопок, 35% полиэфирные волокна, 5% эластан</t>
        </is>
      </c>
      <c r="J51" t="inlineStr">
        <is>
          <t xml:space="preserve">лето</t>
        </is>
      </c>
      <c r="K51" t="inlineStr">
        <is>
          <t xml:space="preserve">Бангладеш</t>
        </is>
      </c>
      <c r="L51" t="inlineStr">
        <is>
          <t xml:space="preserve">6204623900</t>
        </is>
      </c>
      <c r="M51" t="inlineStr">
        <is>
          <t xml:space="preserve">Декларация № ЕАЭС № BY/112 11.01. ТР017 122.01 08246, до 19.04.2028</t>
        </is>
      </c>
      <c r="N51" t="inlineStr">
        <is>
          <t xml:space="preserve">35 × 30 × 3</t>
        </is>
      </c>
      <c r="O51" t="inlineStr">
        <is>
          <t xml:space="preserve">0,4</t>
        </is>
      </c>
      <c r="P51" t="inlineStr">
        <is>
          <t xml:space="preserve">4816148157706</t>
        </is>
      </c>
      <c r="Q51" s="3" t="str">
        <f>HYPERLINK("https://modify.by/img/348649929/1.webp","фото")</f>
        <v>фото</v>
      </c>
      <c r="R51" s="3" t="str">
        <f>HYPERLINK("https://modify.by/catalog/bryuki/348649929/?utm_source=price&amp;utm_medium=xlsx","открыть")</f>
        <v>открыть</v>
      </c>
    </row>
    <row r="52">
      <c r="A52" t="inlineStr">
        <is>
          <t xml:space="preserve">Женский</t>
        </is>
      </c>
      <c r="B52" t="inlineStr">
        <is>
          <t xml:space="preserve">Брюки</t>
        </is>
      </c>
      <c r="C52" t="inlineStr">
        <is>
          <t xml:space="preserve">Брюки летние палаццо легкие немнущиеся, песочный</t>
        </is>
      </c>
      <c r="D52" t="inlineStr">
        <is>
          <t xml:space="preserve">PA52W03Песочный</t>
        </is>
      </c>
      <c r="E52" t="inlineStr">
        <is>
          <t xml:space="preserve">песочный</t>
        </is>
      </c>
      <c r="F52" t="inlineStr">
        <is>
          <t xml:space="preserve">52</t>
        </is>
      </c>
      <c r="G52">
        <v>6</v>
      </c>
      <c r="H52" s="2">
        <v>46.0</v>
      </c>
      <c r="I52" t="inlineStr">
        <is>
          <t xml:space="preserve">60% хлопок, 35% полиэфирные волокна, 5% эластан</t>
        </is>
      </c>
      <c r="J52" t="inlineStr">
        <is>
          <t xml:space="preserve">лето</t>
        </is>
      </c>
      <c r="K52" t="inlineStr">
        <is>
          <t xml:space="preserve">Бангладеш</t>
        </is>
      </c>
      <c r="L52" t="inlineStr">
        <is>
          <t xml:space="preserve">6204623900</t>
        </is>
      </c>
      <c r="M52" t="inlineStr">
        <is>
          <t xml:space="preserve">Декларация № ЕАЭС № BY/112 11.01. ТР017 122.01 08246, до 19.04.2028</t>
        </is>
      </c>
      <c r="N52" t="inlineStr">
        <is>
          <t xml:space="preserve">35 × 30 × 3</t>
        </is>
      </c>
      <c r="O52" t="inlineStr">
        <is>
          <t xml:space="preserve">0,4</t>
        </is>
      </c>
      <c r="P52" t="inlineStr">
        <is>
          <t xml:space="preserve">4816148157713</t>
        </is>
      </c>
      <c r="Q52" s="3" t="str">
        <f>HYPERLINK("https://modify.by/img/348649929/1.webp","фото")</f>
        <v>фото</v>
      </c>
      <c r="R52" s="3" t="str">
        <f>HYPERLINK("https://modify.by/catalog/bryuki/348649929/?utm_source=price&amp;utm_medium=xlsx","открыть")</f>
        <v>открыть</v>
      </c>
    </row>
    <row r="53">
      <c r="A53" t="inlineStr">
        <is>
          <t xml:space="preserve">Женский</t>
        </is>
      </c>
      <c r="B53" t="inlineStr">
        <is>
          <t xml:space="preserve">Брюки</t>
        </is>
      </c>
      <c r="C53" t="inlineStr">
        <is>
          <t xml:space="preserve">Брюки летние палаццо легкие немнущиеся, песочный</t>
        </is>
      </c>
      <c r="D53" t="inlineStr">
        <is>
          <t xml:space="preserve">PA52W03Песочный</t>
        </is>
      </c>
      <c r="E53" t="inlineStr">
        <is>
          <t xml:space="preserve">песочный</t>
        </is>
      </c>
      <c r="F53" t="inlineStr">
        <is>
          <t xml:space="preserve">54</t>
        </is>
      </c>
      <c r="G53">
        <v>9</v>
      </c>
      <c r="H53" s="2">
        <v>46.0</v>
      </c>
      <c r="I53" t="inlineStr">
        <is>
          <t xml:space="preserve">60% хлопок, 35% полиэфирные волокна, 5% эластан</t>
        </is>
      </c>
      <c r="J53" t="inlineStr">
        <is>
          <t xml:space="preserve">лето</t>
        </is>
      </c>
      <c r="K53" t="inlineStr">
        <is>
          <t xml:space="preserve">Бангладеш</t>
        </is>
      </c>
      <c r="L53" t="inlineStr">
        <is>
          <t xml:space="preserve">6204623900</t>
        </is>
      </c>
      <c r="M53" t="inlineStr">
        <is>
          <t xml:space="preserve">Декларация № ЕАЭС № BY/112 11.01. ТР017 122.01 08246, до 19.04.2028</t>
        </is>
      </c>
      <c r="N53" t="inlineStr">
        <is>
          <t xml:space="preserve">35 × 30 × 3</t>
        </is>
      </c>
      <c r="O53" t="inlineStr">
        <is>
          <t xml:space="preserve">0,4</t>
        </is>
      </c>
      <c r="P53" t="inlineStr">
        <is>
          <t xml:space="preserve">4816148157720</t>
        </is>
      </c>
      <c r="Q53" s="3" t="str">
        <f>HYPERLINK("https://modify.by/img/348649929/1.webp","фото")</f>
        <v>фото</v>
      </c>
      <c r="R53" s="3" t="str">
        <f>HYPERLINK("https://modify.by/catalog/bryuki/348649929/?utm_source=price&amp;utm_medium=xlsx","открыть")</f>
        <v>открыть</v>
      </c>
    </row>
    <row r="54">
      <c r="A54" t="inlineStr">
        <is>
          <t xml:space="preserve">Женский</t>
        </is>
      </c>
      <c r="B54" t="inlineStr">
        <is>
          <t xml:space="preserve">Брюки</t>
        </is>
      </c>
      <c r="C54" t="inlineStr">
        <is>
          <t xml:space="preserve">Брюки палаццо летние пляжные широкие 100% хлопок</t>
        </is>
      </c>
      <c r="D54" t="inlineStr">
        <is>
          <t xml:space="preserve">PA62W02_черный</t>
        </is>
      </c>
      <c r="E54" t="inlineStr">
        <is>
          <t xml:space="preserve">черный</t>
        </is>
      </c>
      <c r="F54" t="inlineStr">
        <is>
          <t xml:space="preserve">46</t>
        </is>
      </c>
      <c r="G54">
        <v>2</v>
      </c>
      <c r="H54" s="2">
        <v>36.0</v>
      </c>
      <c r="I54" t="inlineStr">
        <is>
          <t xml:space="preserve">100% премиум хлопок</t>
        </is>
      </c>
      <c r="J54" t="inlineStr">
        <is>
          <t xml:space="preserve">лето</t>
        </is>
      </c>
      <c r="K54" t="inlineStr">
        <is>
          <t xml:space="preserve">Бангладеш</t>
        </is>
      </c>
      <c r="L54" t="inlineStr">
        <is>
          <t xml:space="preserve">6204691800</t>
        </is>
      </c>
      <c r="M54" t="inlineStr">
        <is>
          <t xml:space="preserve">Декларация № ЕАЭС № BY/112 11.01. ТР017 122.01 08246, до 19.04.2028</t>
        </is>
      </c>
      <c r="N54" t="inlineStr">
        <is>
          <t xml:space="preserve">30 × 30 × 3</t>
        </is>
      </c>
      <c r="O54" t="inlineStr">
        <is>
          <t xml:space="preserve">0,35</t>
        </is>
      </c>
      <c r="P54" t="inlineStr">
        <is>
          <t xml:space="preserve">4816148183606</t>
        </is>
      </c>
      <c r="Q54" s="3" t="str">
        <f>HYPERLINK("https://modify.by/img/1127193123/1.webp","фото")</f>
        <v>фото</v>
      </c>
      <c r="R54" s="3" t="str">
        <f>HYPERLINK("https://modify.by/catalog/bryuki/1127193123/?utm_source=price&amp;utm_medium=xlsx","открыть")</f>
        <v>открыть</v>
      </c>
    </row>
    <row r="55">
      <c r="A55" t="inlineStr">
        <is>
          <t xml:space="preserve">Женский</t>
        </is>
      </c>
      <c r="B55" t="inlineStr">
        <is>
          <t xml:space="preserve">Брюки</t>
        </is>
      </c>
      <c r="C55" t="inlineStr">
        <is>
          <t xml:space="preserve">Брюки палаццо летние пляжные широкие кюлоты из вискозы</t>
        </is>
      </c>
      <c r="D55" t="inlineStr">
        <is>
          <t xml:space="preserve">PA62W03_салатовый,белый</t>
        </is>
      </c>
      <c r="E55" t="inlineStr">
        <is>
          <t xml:space="preserve">салатовый, мятный, белый</t>
        </is>
      </c>
      <c r="F55" t="inlineStr">
        <is>
          <t xml:space="preserve">40</t>
        </is>
      </c>
      <c r="G55">
        <v>21</v>
      </c>
      <c r="H55" s="2">
        <v>26.0</v>
      </c>
      <c r="I55" t="inlineStr">
        <is>
          <t xml:space="preserve">район, вискоза</t>
        </is>
      </c>
      <c r="J55" t="inlineStr">
        <is>
          <t xml:space="preserve">лето</t>
        </is>
      </c>
      <c r="K55" t="inlineStr">
        <is>
          <t xml:space="preserve">Бангладеш</t>
        </is>
      </c>
      <c r="L55" t="inlineStr">
        <is>
          <t xml:space="preserve">6204691800</t>
        </is>
      </c>
      <c r="M55" t="inlineStr">
        <is>
          <t xml:space="preserve">Декларация № ЕАЭС № BY/112 11.01. ТР017 122.01 08246, до 19.04.2028</t>
        </is>
      </c>
      <c r="N55" t="inlineStr">
        <is>
          <t xml:space="preserve">15 × 12 × 6</t>
        </is>
      </c>
      <c r="O55" t="inlineStr">
        <is>
          <t xml:space="preserve">0,2</t>
        </is>
      </c>
      <c r="P55" t="inlineStr">
        <is>
          <t xml:space="preserve">4816148184016</t>
        </is>
      </c>
      <c r="Q55" s="3" t="str">
        <f>HYPERLINK("https://modify.by/img/1127647978/1.webp","фото")</f>
        <v>фото</v>
      </c>
      <c r="R55" s="3" t="str">
        <f>HYPERLINK("https://modify.by/catalog/bryuki/1127647978/?utm_source=price&amp;utm_medium=xlsx","открыть")</f>
        <v>открыть</v>
      </c>
    </row>
    <row r="56">
      <c r="A56" t="inlineStr">
        <is>
          <t xml:space="preserve">Женский</t>
        </is>
      </c>
      <c r="B56" t="inlineStr">
        <is>
          <t xml:space="preserve">Брюки</t>
        </is>
      </c>
      <c r="C56" t="inlineStr">
        <is>
          <t xml:space="preserve">Брюки палаццо летние широкие жатка кюлоты с высокой талией</t>
        </is>
      </c>
      <c r="D56" t="inlineStr">
        <is>
          <t xml:space="preserve">PA52W03Розовый</t>
        </is>
      </c>
      <c r="E56" t="inlineStr">
        <is>
          <t xml:space="preserve">пыльная роза</t>
        </is>
      </c>
      <c r="F56" t="inlineStr">
        <is>
          <t xml:space="preserve">46</t>
        </is>
      </c>
      <c r="G56">
        <v>19</v>
      </c>
      <c r="H56" s="2">
        <v>46.0</v>
      </c>
      <c r="I56" t="inlineStr">
        <is>
          <t xml:space="preserve">60% хлопок, 35% полиэфирные волокна, 5% эластан</t>
        </is>
      </c>
      <c r="J56" t="inlineStr">
        <is>
          <t xml:space="preserve">лето</t>
        </is>
      </c>
      <c r="K56" t="inlineStr">
        <is>
          <t xml:space="preserve">Бангладеш</t>
        </is>
      </c>
      <c r="L56" t="inlineStr">
        <is>
          <t xml:space="preserve">6204623900</t>
        </is>
      </c>
      <c r="M56" t="inlineStr">
        <is>
          <t xml:space="preserve">Декларация № ЕАЭС № BY/112 11.01. ТР017 122.01 08246, до 19.04.2028</t>
        </is>
      </c>
      <c r="N56" t="inlineStr">
        <is>
          <t xml:space="preserve">35 × 30 × 3</t>
        </is>
      </c>
      <c r="O56" t="inlineStr">
        <is>
          <t xml:space="preserve">0,4</t>
        </is>
      </c>
      <c r="P56" t="inlineStr">
        <is>
          <t xml:space="preserve">4816148157621</t>
        </is>
      </c>
      <c r="Q56" s="3" t="str">
        <f>HYPERLINK("https://modify.by/img/348649928/1.webp","фото")</f>
        <v>фото</v>
      </c>
      <c r="R56" s="3" t="str">
        <f>HYPERLINK("https://modify.by/catalog/bryuki/348649928/?utm_source=price&amp;utm_medium=xlsx","открыть")</f>
        <v>открыть</v>
      </c>
    </row>
    <row r="57">
      <c r="A57" t="inlineStr">
        <is>
          <t xml:space="preserve">Женский</t>
        </is>
      </c>
      <c r="B57" t="inlineStr">
        <is>
          <t xml:space="preserve">Брюки</t>
        </is>
      </c>
      <c r="C57" t="inlineStr">
        <is>
          <t xml:space="preserve">Брюки палаццо летние широкие жатка кюлоты с высокой талией</t>
        </is>
      </c>
      <c r="D57" t="inlineStr">
        <is>
          <t xml:space="preserve">PA52W03Розовый</t>
        </is>
      </c>
      <c r="E57" t="inlineStr">
        <is>
          <t xml:space="preserve">пыльная роза</t>
        </is>
      </c>
      <c r="F57" t="inlineStr">
        <is>
          <t xml:space="preserve">48</t>
        </is>
      </c>
      <c r="G57">
        <v>25</v>
      </c>
      <c r="H57" s="2">
        <v>46.0</v>
      </c>
      <c r="I57" t="inlineStr">
        <is>
          <t xml:space="preserve">60% хлопок, 35% полиэфирные волокна, 5% эластан</t>
        </is>
      </c>
      <c r="J57" t="inlineStr">
        <is>
          <t xml:space="preserve">лето</t>
        </is>
      </c>
      <c r="K57" t="inlineStr">
        <is>
          <t xml:space="preserve">Бангладеш</t>
        </is>
      </c>
      <c r="L57" t="inlineStr">
        <is>
          <t xml:space="preserve">6204623900</t>
        </is>
      </c>
      <c r="M57" t="inlineStr">
        <is>
          <t xml:space="preserve">Декларация № ЕАЭС № BY/112 11.01. ТР017 122.01 08246, до 19.04.2028</t>
        </is>
      </c>
      <c r="N57" t="inlineStr">
        <is>
          <t xml:space="preserve">35 × 30 × 3</t>
        </is>
      </c>
      <c r="O57" t="inlineStr">
        <is>
          <t xml:space="preserve">0,4</t>
        </is>
      </c>
      <c r="P57" t="inlineStr">
        <is>
          <t xml:space="preserve">4816148157638</t>
        </is>
      </c>
      <c r="Q57" s="3" t="str">
        <f>HYPERLINK("https://modify.by/img/348649928/1.webp","фото")</f>
        <v>фото</v>
      </c>
      <c r="R57" s="3" t="str">
        <f>HYPERLINK("https://modify.by/catalog/bryuki/348649928/?utm_source=price&amp;utm_medium=xlsx","открыть")</f>
        <v>открыть</v>
      </c>
    </row>
    <row r="58">
      <c r="A58" t="inlineStr">
        <is>
          <t xml:space="preserve">Женский</t>
        </is>
      </c>
      <c r="B58" t="inlineStr">
        <is>
          <t xml:space="preserve">Брюки</t>
        </is>
      </c>
      <c r="C58" t="inlineStr">
        <is>
          <t xml:space="preserve">Брюки палаццо летние широкие жатка кюлоты с высокой талией</t>
        </is>
      </c>
      <c r="D58" t="inlineStr">
        <is>
          <t xml:space="preserve">PA52W03Розовый</t>
        </is>
      </c>
      <c r="E58" t="inlineStr">
        <is>
          <t xml:space="preserve">пыльная роза</t>
        </is>
      </c>
      <c r="F58" t="inlineStr">
        <is>
          <t xml:space="preserve">50</t>
        </is>
      </c>
      <c r="G58">
        <v>50</v>
      </c>
      <c r="H58" s="2">
        <v>46.0</v>
      </c>
      <c r="I58" t="inlineStr">
        <is>
          <t xml:space="preserve">60% хлопок, 35% полиэфирные волокна, 5% эластан</t>
        </is>
      </c>
      <c r="J58" t="inlineStr">
        <is>
          <t xml:space="preserve">лето</t>
        </is>
      </c>
      <c r="K58" t="inlineStr">
        <is>
          <t xml:space="preserve">Бангладеш</t>
        </is>
      </c>
      <c r="L58" t="inlineStr">
        <is>
          <t xml:space="preserve">6204623900</t>
        </is>
      </c>
      <c r="M58" t="inlineStr">
        <is>
          <t xml:space="preserve">Декларация № ЕАЭС № BY/112 11.01. ТР017 122.01 08246, до 19.04.2028</t>
        </is>
      </c>
      <c r="N58" t="inlineStr">
        <is>
          <t xml:space="preserve">35 × 30 × 3</t>
        </is>
      </c>
      <c r="O58" t="inlineStr">
        <is>
          <t xml:space="preserve">0,4</t>
        </is>
      </c>
      <c r="P58" t="inlineStr">
        <is>
          <t xml:space="preserve">4816148157645</t>
        </is>
      </c>
      <c r="Q58" s="3" t="str">
        <f>HYPERLINK("https://modify.by/img/348649928/1.webp","фото")</f>
        <v>фото</v>
      </c>
      <c r="R58" s="3" t="str">
        <f>HYPERLINK("https://modify.by/catalog/bryuki/348649928/?utm_source=price&amp;utm_medium=xlsx","открыть")</f>
        <v>открыть</v>
      </c>
    </row>
    <row r="59">
      <c r="A59" t="inlineStr">
        <is>
          <t xml:space="preserve">Женский</t>
        </is>
      </c>
      <c r="B59" t="inlineStr">
        <is>
          <t xml:space="preserve">Брюки</t>
        </is>
      </c>
      <c r="C59" t="inlineStr">
        <is>
          <t xml:space="preserve">Брюки палаццо летние широкие жатка кюлоты с высокой талией</t>
        </is>
      </c>
      <c r="D59" t="inlineStr">
        <is>
          <t xml:space="preserve">PA52W03Розовый</t>
        </is>
      </c>
      <c r="E59" t="inlineStr">
        <is>
          <t xml:space="preserve">пыльная роза</t>
        </is>
      </c>
      <c r="F59" t="inlineStr">
        <is>
          <t xml:space="preserve">52</t>
        </is>
      </c>
      <c r="G59">
        <v>25</v>
      </c>
      <c r="H59" s="2">
        <v>46.0</v>
      </c>
      <c r="I59" t="inlineStr">
        <is>
          <t xml:space="preserve">60% хлопок, 35% полиэфирные волокна, 5% эластан</t>
        </is>
      </c>
      <c r="J59" t="inlineStr">
        <is>
          <t xml:space="preserve">лето</t>
        </is>
      </c>
      <c r="K59" t="inlineStr">
        <is>
          <t xml:space="preserve">Бангладеш</t>
        </is>
      </c>
      <c r="L59" t="inlineStr">
        <is>
          <t xml:space="preserve">6204623900</t>
        </is>
      </c>
      <c r="M59" t="inlineStr">
        <is>
          <t xml:space="preserve">Декларация № ЕАЭС № BY/112 11.01. ТР017 122.01 08246, до 19.04.2028</t>
        </is>
      </c>
      <c r="N59" t="inlineStr">
        <is>
          <t xml:space="preserve">35 × 30 × 3</t>
        </is>
      </c>
      <c r="O59" t="inlineStr">
        <is>
          <t xml:space="preserve">0,4</t>
        </is>
      </c>
      <c r="P59" t="inlineStr">
        <is>
          <t xml:space="preserve">4816148157652</t>
        </is>
      </c>
      <c r="Q59" s="3" t="str">
        <f>HYPERLINK("https://modify.by/img/348649928/1.webp","фото")</f>
        <v>фото</v>
      </c>
      <c r="R59" s="3" t="str">
        <f>HYPERLINK("https://modify.by/catalog/bryuki/348649928/?utm_source=price&amp;utm_medium=xlsx","открыть")</f>
        <v>открыть</v>
      </c>
    </row>
    <row r="60">
      <c r="A60" t="inlineStr">
        <is>
          <t xml:space="preserve">Женский</t>
        </is>
      </c>
      <c r="B60" t="inlineStr">
        <is>
          <t xml:space="preserve">Брюки</t>
        </is>
      </c>
      <c r="C60" t="inlineStr">
        <is>
          <t xml:space="preserve">Брюки палаццо летние широкие жатка кюлоты с высокой талией</t>
        </is>
      </c>
      <c r="D60" t="inlineStr">
        <is>
          <t xml:space="preserve">PA52W03Розовый</t>
        </is>
      </c>
      <c r="E60" t="inlineStr">
        <is>
          <t xml:space="preserve">пыльная роза</t>
        </is>
      </c>
      <c r="F60" t="inlineStr">
        <is>
          <t xml:space="preserve">54</t>
        </is>
      </c>
      <c r="G60">
        <v>28</v>
      </c>
      <c r="H60" s="2">
        <v>46.0</v>
      </c>
      <c r="I60" t="inlineStr">
        <is>
          <t xml:space="preserve">60% хлопок, 35% полиэфирные волокна, 5% эластан</t>
        </is>
      </c>
      <c r="J60" t="inlineStr">
        <is>
          <t xml:space="preserve">лето</t>
        </is>
      </c>
      <c r="K60" t="inlineStr">
        <is>
          <t xml:space="preserve">Бангладеш</t>
        </is>
      </c>
      <c r="L60" t="inlineStr">
        <is>
          <t xml:space="preserve">6204623900</t>
        </is>
      </c>
      <c r="M60" t="inlineStr">
        <is>
          <t xml:space="preserve">Декларация № ЕАЭС № BY/112 11.01. ТР017 122.01 08246, до 19.04.2028</t>
        </is>
      </c>
      <c r="N60" t="inlineStr">
        <is>
          <t xml:space="preserve">35 × 30 × 3</t>
        </is>
      </c>
      <c r="O60" t="inlineStr">
        <is>
          <t xml:space="preserve">0,4</t>
        </is>
      </c>
      <c r="P60" t="inlineStr">
        <is>
          <t xml:space="preserve">4816148157669</t>
        </is>
      </c>
      <c r="Q60" s="3" t="str">
        <f>HYPERLINK("https://modify.by/img/348649928/1.webp","фото")</f>
        <v>фото</v>
      </c>
      <c r="R60" s="3" t="str">
        <f>HYPERLINK("https://modify.by/catalog/bryuki/348649928/?utm_source=price&amp;utm_medium=xlsx","открыть")</f>
        <v>открыть</v>
      </c>
    </row>
    <row r="61">
      <c r="A61" t="inlineStr">
        <is>
          <t xml:space="preserve">Женский</t>
        </is>
      </c>
      <c r="B61" t="inlineStr">
        <is>
          <t xml:space="preserve">Брюки</t>
        </is>
      </c>
      <c r="C61" t="inlineStr">
        <is>
          <t xml:space="preserve">Брюки прямые с защипами розовые фуксия</t>
        </is>
      </c>
      <c r="D61" t="inlineStr">
        <is>
          <t xml:space="preserve">PA32W08Фуксия</t>
        </is>
      </c>
      <c r="E61" t="inlineStr">
        <is>
          <t xml:space="preserve">розовый, фуксия</t>
        </is>
      </c>
      <c r="F61" t="inlineStr">
        <is>
          <t xml:space="preserve">54</t>
        </is>
      </c>
      <c r="G61">
        <v>1</v>
      </c>
      <c r="H61" s="2">
        <v>30.0</v>
      </c>
      <c r="I61" t="inlineStr">
        <is>
          <t xml:space="preserve">хлопок 100%</t>
        </is>
      </c>
      <c r="J61" t="inlineStr">
        <is>
          <t xml:space="preserve">Лето</t>
        </is>
      </c>
      <c r="K61" t="inlineStr">
        <is>
          <t xml:space="preserve">Бангладеш</t>
        </is>
      </c>
      <c r="L61" t="inlineStr">
        <is>
          <t xml:space="preserve">6204623900</t>
        </is>
      </c>
      <c r="M61" t="inlineStr">
        <is>
          <t xml:space="preserve">по запросу</t>
        </is>
      </c>
      <c r="N61" t="inlineStr">
        <is>
          <t xml:space="preserve">38 × 30 × 2</t>
        </is>
      </c>
      <c r="O61" t="inlineStr">
        <is>
          <t xml:space="preserve">0,42</t>
        </is>
      </c>
      <c r="P61" t="inlineStr">
        <is>
          <t xml:space="preserve">2026620765738</t>
        </is>
      </c>
      <c r="Q61" s="3" t="str">
        <f>HYPERLINK("https://modify.by/img/160893498/1.webp","фото")</f>
        <v>фото</v>
      </c>
      <c r="R61" s="3" t="str">
        <f>HYPERLINK("https://modify.by/catalog/bryuki/160893498/?utm_source=price&amp;utm_medium=xlsx","открыть")</f>
        <v>открыть</v>
      </c>
    </row>
    <row r="62">
      <c r="A62" t="inlineStr">
        <is>
          <t xml:space="preserve">Женский</t>
        </is>
      </c>
      <c r="B62" t="inlineStr">
        <is>
          <t xml:space="preserve">Брюки</t>
        </is>
      </c>
      <c r="C62" t="inlineStr">
        <is>
          <t xml:space="preserve">Брюки трикотажные на резинке</t>
        </is>
      </c>
      <c r="D62" t="inlineStr">
        <is>
          <t xml:space="preserve">PA42W02черный</t>
        </is>
      </c>
      <c r="E62" t="inlineStr">
        <is>
          <t xml:space="preserve">черный</t>
        </is>
      </c>
      <c r="F62" t="inlineStr">
        <is>
          <t xml:space="preserve">44</t>
        </is>
      </c>
      <c r="G62">
        <v>8</v>
      </c>
      <c r="H62" s="2">
        <v>34.0</v>
      </c>
      <c r="I62" t="inlineStr">
        <is>
          <t xml:space="preserve">Хлопок 98%, Эластан 2%</t>
        </is>
      </c>
      <c r="J62" t="inlineStr">
        <is>
          <t xml:space="preserve">демисезон</t>
        </is>
      </c>
      <c r="K62" t="inlineStr">
        <is>
          <t xml:space="preserve">Бангладеш</t>
        </is>
      </c>
      <c r="L62" t="inlineStr">
        <is>
          <t xml:space="preserve">6204623900</t>
        </is>
      </c>
      <c r="M62" t="inlineStr">
        <is>
          <t xml:space="preserve">Декларация № ЕАЭС № BY/112 11.01. ТР017 122.01 08246, до 19.04.2028</t>
        </is>
      </c>
      <c r="N62" t="inlineStr">
        <is>
          <t xml:space="preserve">31 × 27 × 2</t>
        </is>
      </c>
      <c r="O62" t="inlineStr">
        <is>
          <t xml:space="preserve">0,4</t>
        </is>
      </c>
      <c r="P62" t="inlineStr">
        <is>
          <t xml:space="preserve">4816148101105</t>
        </is>
      </c>
      <c r="Q62" s="3" t="str">
        <f>HYPERLINK("https://modify.by/img/234681638/1.webp","фото")</f>
        <v>фото</v>
      </c>
      <c r="R62" s="3" t="str">
        <f>HYPERLINK("https://modify.by/catalog/bryuki/234681638/?utm_source=price&amp;utm_medium=xlsx","открыть")</f>
        <v>открыть</v>
      </c>
    </row>
    <row r="63">
      <c r="A63" t="inlineStr">
        <is>
          <t xml:space="preserve">Женский</t>
        </is>
      </c>
      <c r="B63" t="inlineStr">
        <is>
          <t xml:space="preserve">Брюки</t>
        </is>
      </c>
      <c r="C63" t="inlineStr">
        <is>
          <t xml:space="preserve">Брюки трикотажные на резинке</t>
        </is>
      </c>
      <c r="D63" t="inlineStr">
        <is>
          <t xml:space="preserve">PA42W02черный</t>
        </is>
      </c>
      <c r="E63" t="inlineStr">
        <is>
          <t xml:space="preserve">черный</t>
        </is>
      </c>
      <c r="F63" t="inlineStr">
        <is>
          <t xml:space="preserve">46</t>
        </is>
      </c>
      <c r="G63">
        <v>32</v>
      </c>
      <c r="H63" s="2">
        <v>34.0</v>
      </c>
      <c r="I63" t="inlineStr">
        <is>
          <t xml:space="preserve">Хлопок 98%, Эластан 2%</t>
        </is>
      </c>
      <c r="J63" t="inlineStr">
        <is>
          <t xml:space="preserve">демисезон</t>
        </is>
      </c>
      <c r="K63" t="inlineStr">
        <is>
          <t xml:space="preserve">Бангладеш</t>
        </is>
      </c>
      <c r="L63" t="inlineStr">
        <is>
          <t xml:space="preserve">6204623900</t>
        </is>
      </c>
      <c r="M63" t="inlineStr">
        <is>
          <t xml:space="preserve">Декларация № ЕАЭС № BY/112 11.01. ТР017 122.01 08246, до 19.04.2028</t>
        </is>
      </c>
      <c r="N63" t="inlineStr">
        <is>
          <t xml:space="preserve">31 × 27 × 2</t>
        </is>
      </c>
      <c r="O63" t="inlineStr">
        <is>
          <t xml:space="preserve">0,4</t>
        </is>
      </c>
      <c r="P63" t="inlineStr">
        <is>
          <t xml:space="preserve">4816148101112</t>
        </is>
      </c>
      <c r="Q63" s="3" t="str">
        <f>HYPERLINK("https://modify.by/img/234681638/1.webp","фото")</f>
        <v>фото</v>
      </c>
      <c r="R63" s="3" t="str">
        <f>HYPERLINK("https://modify.by/catalog/bryuki/234681638/?utm_source=price&amp;utm_medium=xlsx","открыть")</f>
        <v>открыть</v>
      </c>
    </row>
    <row r="64">
      <c r="A64" t="inlineStr">
        <is>
          <t xml:space="preserve">Женский</t>
        </is>
      </c>
      <c r="B64" t="inlineStr">
        <is>
          <t xml:space="preserve">Брюки</t>
        </is>
      </c>
      <c r="C64" t="inlineStr">
        <is>
          <t xml:space="preserve">Брюки трикотажные на резинке</t>
        </is>
      </c>
      <c r="D64" t="inlineStr">
        <is>
          <t xml:space="preserve">PA42W02черный</t>
        </is>
      </c>
      <c r="E64" t="inlineStr">
        <is>
          <t xml:space="preserve">черный</t>
        </is>
      </c>
      <c r="F64" t="inlineStr">
        <is>
          <t xml:space="preserve">48</t>
        </is>
      </c>
      <c r="G64">
        <v>10</v>
      </c>
      <c r="H64" s="2">
        <v>34.0</v>
      </c>
      <c r="I64" t="inlineStr">
        <is>
          <t xml:space="preserve">Хлопок 98%, Эластан 2%</t>
        </is>
      </c>
      <c r="J64" t="inlineStr">
        <is>
          <t xml:space="preserve">демисезон</t>
        </is>
      </c>
      <c r="K64" t="inlineStr">
        <is>
          <t xml:space="preserve">Бангладеш</t>
        </is>
      </c>
      <c r="L64" t="inlineStr">
        <is>
          <t xml:space="preserve">6204623900</t>
        </is>
      </c>
      <c r="M64" t="inlineStr">
        <is>
          <t xml:space="preserve">Декларация № ЕАЭС № BY/112 11.01. ТР017 122.01 08246, до 19.04.2028</t>
        </is>
      </c>
      <c r="N64" t="inlineStr">
        <is>
          <t xml:space="preserve">31 × 27 × 2</t>
        </is>
      </c>
      <c r="O64" t="inlineStr">
        <is>
          <t xml:space="preserve">0,4</t>
        </is>
      </c>
      <c r="P64" t="inlineStr">
        <is>
          <t xml:space="preserve">4816148101129</t>
        </is>
      </c>
      <c r="Q64" s="3" t="str">
        <f>HYPERLINK("https://modify.by/img/234681638/1.webp","фото")</f>
        <v>фото</v>
      </c>
      <c r="R64" s="3" t="str">
        <f>HYPERLINK("https://modify.by/catalog/bryuki/234681638/?utm_source=price&amp;utm_medium=xlsx","открыть")</f>
        <v>открыть</v>
      </c>
    </row>
    <row r="65">
      <c r="A65" t="inlineStr">
        <is>
          <t xml:space="preserve">Женский</t>
        </is>
      </c>
      <c r="B65" t="inlineStr">
        <is>
          <t xml:space="preserve">Брюки</t>
        </is>
      </c>
      <c r="C65" t="inlineStr">
        <is>
          <t xml:space="preserve">Брюки трикотажные на резинке</t>
        </is>
      </c>
      <c r="D65" t="inlineStr">
        <is>
          <t xml:space="preserve">PA42W02черный</t>
        </is>
      </c>
      <c r="E65" t="inlineStr">
        <is>
          <t xml:space="preserve">черный</t>
        </is>
      </c>
      <c r="F65" t="inlineStr">
        <is>
          <t xml:space="preserve">50</t>
        </is>
      </c>
      <c r="G65">
        <v>8</v>
      </c>
      <c r="H65" s="2">
        <v>34.0</v>
      </c>
      <c r="I65" t="inlineStr">
        <is>
          <t xml:space="preserve">Хлопок 98%, Эластан 2%</t>
        </is>
      </c>
      <c r="J65" t="inlineStr">
        <is>
          <t xml:space="preserve">демисезон</t>
        </is>
      </c>
      <c r="K65" t="inlineStr">
        <is>
          <t xml:space="preserve">Бангладеш</t>
        </is>
      </c>
      <c r="L65" t="inlineStr">
        <is>
          <t xml:space="preserve">6204623900</t>
        </is>
      </c>
      <c r="M65" t="inlineStr">
        <is>
          <t xml:space="preserve">Декларация № ЕАЭС № BY/112 11.01. ТР017 122.01 08246, до 19.04.2028</t>
        </is>
      </c>
      <c r="N65" t="inlineStr">
        <is>
          <t xml:space="preserve">31 × 27 × 2</t>
        </is>
      </c>
      <c r="O65" t="inlineStr">
        <is>
          <t xml:space="preserve">0,4</t>
        </is>
      </c>
      <c r="P65" t="inlineStr">
        <is>
          <t xml:space="preserve">4816148101136</t>
        </is>
      </c>
      <c r="Q65" s="3" t="str">
        <f>HYPERLINK("https://modify.by/img/234681638/1.webp","фото")</f>
        <v>фото</v>
      </c>
      <c r="R65" s="3" t="str">
        <f>HYPERLINK("https://modify.by/catalog/bryuki/234681638/?utm_source=price&amp;utm_medium=xlsx","открыть")</f>
        <v>открыть</v>
      </c>
    </row>
    <row r="66">
      <c r="A66" t="inlineStr">
        <is>
          <t xml:space="preserve">Женский</t>
        </is>
      </c>
      <c r="B66" t="inlineStr">
        <is>
          <t xml:space="preserve">Брюки</t>
        </is>
      </c>
      <c r="C66" t="inlineStr">
        <is>
          <t xml:space="preserve">Брюки укороченные скинни стрейч из вискозы</t>
        </is>
      </c>
      <c r="D66" t="inlineStr">
        <is>
          <t xml:space="preserve">PA52W02бежевый</t>
        </is>
      </c>
      <c r="E66" t="inlineStr">
        <is>
          <t xml:space="preserve">бежевый, серо-бежевый светлый</t>
        </is>
      </c>
      <c r="F66" t="inlineStr">
        <is>
          <t xml:space="preserve">44</t>
        </is>
      </c>
      <c r="G66">
        <v>29</v>
      </c>
      <c r="H66" s="2">
        <v>34.0</v>
      </c>
      <c r="I66" t="inlineStr">
        <is>
          <t xml:space="preserve">Вискоза 75%, Нейлон 21%, Эластан 4%</t>
        </is>
      </c>
      <c r="J66" t="inlineStr">
        <is>
          <t xml:space="preserve">демисезон</t>
        </is>
      </c>
      <c r="K66" t="inlineStr">
        <is>
          <t xml:space="preserve">Бангладеш</t>
        </is>
      </c>
      <c r="L66" t="inlineStr">
        <is>
          <t xml:space="preserve">6204631800</t>
        </is>
      </c>
      <c r="M66" t="inlineStr">
        <is>
          <t xml:space="preserve">Декларация № ЕАЭС № BY/112 11.01. ТР017 122.01 08246, до 19.04.2028</t>
        </is>
      </c>
      <c r="N66" t="inlineStr">
        <is>
          <t xml:space="preserve">30 × 24 × 2</t>
        </is>
      </c>
      <c r="O66" t="inlineStr">
        <is>
          <t xml:space="preserve">0,4</t>
        </is>
      </c>
      <c r="P66" t="inlineStr">
        <is>
          <t xml:space="preserve">4816148157409</t>
        </is>
      </c>
      <c r="Q66" s="3" t="str">
        <f>HYPERLINK("https://modify.by/img/348649885/1.webp","фото")</f>
        <v>фото</v>
      </c>
      <c r="R66" s="3" t="str">
        <f>HYPERLINK("https://modify.by/catalog/bryuki/348649885/?utm_source=price&amp;utm_medium=xlsx","открыть")</f>
        <v>открыть</v>
      </c>
    </row>
    <row r="67">
      <c r="A67" t="inlineStr">
        <is>
          <t xml:space="preserve">Женский</t>
        </is>
      </c>
      <c r="B67" t="inlineStr">
        <is>
          <t xml:space="preserve">Брюки</t>
        </is>
      </c>
      <c r="C67" t="inlineStr">
        <is>
          <t xml:space="preserve">Брюки укороченные скинни стрейч из вискозы</t>
        </is>
      </c>
      <c r="D67" t="inlineStr">
        <is>
          <t xml:space="preserve">PA52W02бежевый</t>
        </is>
      </c>
      <c r="E67" t="inlineStr">
        <is>
          <t xml:space="preserve">бежевый, серо-бежевый светлый</t>
        </is>
      </c>
      <c r="F67" t="inlineStr">
        <is>
          <t xml:space="preserve">46</t>
        </is>
      </c>
      <c r="G67">
        <v>22</v>
      </c>
      <c r="H67" s="2">
        <v>34.0</v>
      </c>
      <c r="I67" t="inlineStr">
        <is>
          <t xml:space="preserve">Вискоза 75%, Нейлон 21%, Эластан 4%</t>
        </is>
      </c>
      <c r="J67" t="inlineStr">
        <is>
          <t xml:space="preserve">демисезон</t>
        </is>
      </c>
      <c r="K67" t="inlineStr">
        <is>
          <t xml:space="preserve">Бангладеш</t>
        </is>
      </c>
      <c r="L67" t="inlineStr">
        <is>
          <t xml:space="preserve">6204631800</t>
        </is>
      </c>
      <c r="M67" t="inlineStr">
        <is>
          <t xml:space="preserve">Декларация № ЕАЭС № BY/112 11.01. ТР017 122.01 08246, до 19.04.2028</t>
        </is>
      </c>
      <c r="N67" t="inlineStr">
        <is>
          <t xml:space="preserve">30 × 24 × 2</t>
        </is>
      </c>
      <c r="O67" t="inlineStr">
        <is>
          <t xml:space="preserve">0,4</t>
        </is>
      </c>
      <c r="P67" t="inlineStr">
        <is>
          <t xml:space="preserve">4816148157416</t>
        </is>
      </c>
      <c r="Q67" s="3" t="str">
        <f>HYPERLINK("https://modify.by/img/348649885/1.webp","фото")</f>
        <v>фото</v>
      </c>
      <c r="R67" s="3" t="str">
        <f>HYPERLINK("https://modify.by/catalog/bryuki/348649885/?utm_source=price&amp;utm_medium=xlsx","открыть")</f>
        <v>открыть</v>
      </c>
    </row>
    <row r="68">
      <c r="A68" t="inlineStr">
        <is>
          <t xml:space="preserve">Женский</t>
        </is>
      </c>
      <c r="B68" t="inlineStr">
        <is>
          <t xml:space="preserve">Брюки</t>
        </is>
      </c>
      <c r="C68" t="inlineStr">
        <is>
          <t xml:space="preserve">Брюки укороченные скинни стрейч из вискозы</t>
        </is>
      </c>
      <c r="D68" t="inlineStr">
        <is>
          <t xml:space="preserve">PA52W02бежевый</t>
        </is>
      </c>
      <c r="E68" t="inlineStr">
        <is>
          <t xml:space="preserve">бежевый, серо-бежевый светлый</t>
        </is>
      </c>
      <c r="F68" t="inlineStr">
        <is>
          <t xml:space="preserve">48</t>
        </is>
      </c>
      <c r="G68">
        <v>63</v>
      </c>
      <c r="H68" s="2">
        <v>34.0</v>
      </c>
      <c r="I68" t="inlineStr">
        <is>
          <t xml:space="preserve">Вискоза 75%, Нейлон 21%, Эластан 4%</t>
        </is>
      </c>
      <c r="J68" t="inlineStr">
        <is>
          <t xml:space="preserve">демисезон</t>
        </is>
      </c>
      <c r="K68" t="inlineStr">
        <is>
          <t xml:space="preserve">Бангладеш</t>
        </is>
      </c>
      <c r="L68" t="inlineStr">
        <is>
          <t xml:space="preserve">6204631800</t>
        </is>
      </c>
      <c r="M68" t="inlineStr">
        <is>
          <t xml:space="preserve">Декларация № ЕАЭС № BY/112 11.01. ТР017 122.01 08246, до 19.04.2028</t>
        </is>
      </c>
      <c r="N68" t="inlineStr">
        <is>
          <t xml:space="preserve">30 × 24 × 2</t>
        </is>
      </c>
      <c r="O68" t="inlineStr">
        <is>
          <t xml:space="preserve">0,4</t>
        </is>
      </c>
      <c r="P68" t="inlineStr">
        <is>
          <t xml:space="preserve">4816148157423</t>
        </is>
      </c>
      <c r="Q68" s="3" t="str">
        <f>HYPERLINK("https://modify.by/img/348649885/1.webp","фото")</f>
        <v>фото</v>
      </c>
      <c r="R68" s="3" t="str">
        <f>HYPERLINK("https://modify.by/catalog/bryuki/348649885/?utm_source=price&amp;utm_medium=xlsx","открыть")</f>
        <v>открыть</v>
      </c>
    </row>
    <row r="69">
      <c r="A69" t="inlineStr">
        <is>
          <t xml:space="preserve">Женский</t>
        </is>
      </c>
      <c r="B69" t="inlineStr">
        <is>
          <t xml:space="preserve">Брюки</t>
        </is>
      </c>
      <c r="C69" t="inlineStr">
        <is>
          <t xml:space="preserve">Брюки укороченные скинни стрейч из вискозы</t>
        </is>
      </c>
      <c r="D69" t="inlineStr">
        <is>
          <t xml:space="preserve">PA52W02бежевый</t>
        </is>
      </c>
      <c r="E69" t="inlineStr">
        <is>
          <t xml:space="preserve">бежевый, серо-бежевый светлый</t>
        </is>
      </c>
      <c r="F69" t="inlineStr">
        <is>
          <t xml:space="preserve">50</t>
        </is>
      </c>
      <c r="G69">
        <v>20</v>
      </c>
      <c r="H69" s="2">
        <v>34.0</v>
      </c>
      <c r="I69" t="inlineStr">
        <is>
          <t xml:space="preserve">Вискоза 75%, Нейлон 21%, Эластан 4%</t>
        </is>
      </c>
      <c r="J69" t="inlineStr">
        <is>
          <t xml:space="preserve">демисезон</t>
        </is>
      </c>
      <c r="K69" t="inlineStr">
        <is>
          <t xml:space="preserve">Бангладеш</t>
        </is>
      </c>
      <c r="L69" t="inlineStr">
        <is>
          <t xml:space="preserve">6204631800</t>
        </is>
      </c>
      <c r="M69" t="inlineStr">
        <is>
          <t xml:space="preserve">Декларация № ЕАЭС № BY/112 11.01. ТР017 122.01 08246, до 19.04.2028</t>
        </is>
      </c>
      <c r="N69" t="inlineStr">
        <is>
          <t xml:space="preserve">30 × 24 × 2</t>
        </is>
      </c>
      <c r="O69" t="inlineStr">
        <is>
          <t xml:space="preserve">0,4</t>
        </is>
      </c>
      <c r="P69" t="inlineStr">
        <is>
          <t xml:space="preserve">4816148157430</t>
        </is>
      </c>
      <c r="Q69" s="3" t="str">
        <f>HYPERLINK("https://modify.by/img/348649885/1.webp","фото")</f>
        <v>фото</v>
      </c>
      <c r="R69" s="3" t="str">
        <f>HYPERLINK("https://modify.by/catalog/bryuki/348649885/?utm_source=price&amp;utm_medium=xlsx","открыть")</f>
        <v>открыть</v>
      </c>
    </row>
    <row r="70">
      <c r="A70" t="inlineStr">
        <is>
          <t xml:space="preserve">Женский</t>
        </is>
      </c>
      <c r="B70" t="inlineStr">
        <is>
          <t xml:space="preserve">Брюки</t>
        </is>
      </c>
      <c r="C70" t="inlineStr">
        <is>
          <t xml:space="preserve">Брюки укороченные скинни стрейч черные из вискозы</t>
        </is>
      </c>
      <c r="D70" t="inlineStr">
        <is>
          <t xml:space="preserve">PA52W02черный</t>
        </is>
      </c>
      <c r="E70" t="inlineStr">
        <is>
          <t xml:space="preserve">черный</t>
        </is>
      </c>
      <c r="F70" t="inlineStr">
        <is>
          <t xml:space="preserve">48</t>
        </is>
      </c>
      <c r="G70">
        <v>25</v>
      </c>
      <c r="H70" s="2">
        <v>34.0</v>
      </c>
      <c r="I70" t="inlineStr">
        <is>
          <t xml:space="preserve">Вискоза 75%, нейлон 21%, Эластан 4%</t>
        </is>
      </c>
      <c r="J70" t="inlineStr">
        <is>
          <t xml:space="preserve">демисезон</t>
        </is>
      </c>
      <c r="K70" t="inlineStr">
        <is>
          <t xml:space="preserve">Бангладеш</t>
        </is>
      </c>
      <c r="L70" t="inlineStr">
        <is>
          <t xml:space="preserve">6204631800</t>
        </is>
      </c>
      <c r="M70" t="inlineStr">
        <is>
          <t xml:space="preserve">Декларация № ЕАЭС № BY/112 11.01. ТР017 122.01 08246, до 19.04.2028</t>
        </is>
      </c>
      <c r="N70" t="inlineStr">
        <is>
          <t xml:space="preserve">30 × 24 × 2</t>
        </is>
      </c>
      <c r="O70" t="inlineStr">
        <is>
          <t xml:space="preserve">0,4</t>
        </is>
      </c>
      <c r="P70" t="inlineStr">
        <is>
          <t xml:space="preserve">4816148157362</t>
        </is>
      </c>
      <c r="Q70" s="3" t="str">
        <f>HYPERLINK("https://modify.by/img/348649882/1.webp","фото")</f>
        <v>фото</v>
      </c>
      <c r="R70" s="3" t="str">
        <f>HYPERLINK("https://modify.by/catalog/bryuki/348649882/?utm_source=price&amp;utm_medium=xlsx","открыть")</f>
        <v>открыть</v>
      </c>
    </row>
    <row r="71">
      <c r="A71" t="inlineStr">
        <is>
          <t xml:space="preserve">Женский</t>
        </is>
      </c>
      <c r="B71" t="inlineStr">
        <is>
          <t xml:space="preserve">Брюки</t>
        </is>
      </c>
      <c r="C71" t="inlineStr">
        <is>
          <t xml:space="preserve">Брюки укороченные скинни стрейч черные из вискозы</t>
        </is>
      </c>
      <c r="D71" t="inlineStr">
        <is>
          <t xml:space="preserve">PA52W02черный</t>
        </is>
      </c>
      <c r="E71" t="inlineStr">
        <is>
          <t xml:space="preserve">черный</t>
        </is>
      </c>
      <c r="F71" t="inlineStr">
        <is>
          <t xml:space="preserve">50</t>
        </is>
      </c>
      <c r="G71">
        <v>2</v>
      </c>
      <c r="H71" s="2">
        <v>34.0</v>
      </c>
      <c r="I71" t="inlineStr">
        <is>
          <t xml:space="preserve">Вискоза 75%, нейлон 21%, Эластан 4%</t>
        </is>
      </c>
      <c r="J71" t="inlineStr">
        <is>
          <t xml:space="preserve">демисезон</t>
        </is>
      </c>
      <c r="K71" t="inlineStr">
        <is>
          <t xml:space="preserve">Бангладеш</t>
        </is>
      </c>
      <c r="L71" t="inlineStr">
        <is>
          <t xml:space="preserve">6204631800</t>
        </is>
      </c>
      <c r="M71" t="inlineStr">
        <is>
          <t xml:space="preserve">Декларация № ЕАЭС № BY/112 11.01. ТР017 122.01 08246, до 19.04.2028</t>
        </is>
      </c>
      <c r="N71" t="inlineStr">
        <is>
          <t xml:space="preserve">30 × 24 × 2</t>
        </is>
      </c>
      <c r="O71" t="inlineStr">
        <is>
          <t xml:space="preserve">0,4</t>
        </is>
      </c>
      <c r="P71" t="inlineStr">
        <is>
          <t xml:space="preserve">4816148157379</t>
        </is>
      </c>
      <c r="Q71" s="3" t="str">
        <f>HYPERLINK("https://modify.by/img/348649882/1.webp","фото")</f>
        <v>фото</v>
      </c>
      <c r="R71" s="3" t="str">
        <f>HYPERLINK("https://modify.by/catalog/bryuki/348649882/?utm_source=price&amp;utm_medium=xlsx","открыть")</f>
        <v>открыть</v>
      </c>
    </row>
    <row r="72">
      <c r="A72" t="inlineStr">
        <is>
          <t xml:space="preserve">Женский</t>
        </is>
      </c>
      <c r="B72" t="inlineStr">
        <is>
          <t xml:space="preserve">Брюки</t>
        </is>
      </c>
      <c r="C72" t="inlineStr">
        <is>
          <t xml:space="preserve">Брюки чинос классические хлопок</t>
        </is>
      </c>
      <c r="D72" t="inlineStr">
        <is>
          <t xml:space="preserve">PA42W01хаки</t>
        </is>
      </c>
      <c r="E72" t="inlineStr">
        <is>
          <t xml:space="preserve">хаки</t>
        </is>
      </c>
      <c r="F72" t="inlineStr">
        <is>
          <t xml:space="preserve">44</t>
        </is>
      </c>
      <c r="G72">
        <v>82</v>
      </c>
      <c r="H72" s="2">
        <v>40.0</v>
      </c>
      <c r="I72" t="inlineStr">
        <is>
          <t xml:space="preserve">хлопок</t>
        </is>
      </c>
      <c r="J72" t="inlineStr">
        <is>
          <t xml:space="preserve">демисезон</t>
        </is>
      </c>
      <c r="K72" t="inlineStr">
        <is>
          <t xml:space="preserve">Бангладеш</t>
        </is>
      </c>
      <c r="L72" t="inlineStr">
        <is>
          <t xml:space="preserve">6204623900</t>
        </is>
      </c>
      <c r="M72" t="inlineStr">
        <is>
          <t xml:space="preserve">Декларация № ЕАЭС № BY/112 11.01. ТР017 122.01 08246, до 19.04.2028</t>
        </is>
      </c>
      <c r="N72" t="inlineStr">
        <is>
          <t xml:space="preserve">32 × 31 × 4</t>
        </is>
      </c>
      <c r="O72" t="inlineStr">
        <is>
          <t xml:space="preserve">0,39</t>
        </is>
      </c>
      <c r="P72" t="inlineStr">
        <is>
          <t xml:space="preserve">4816148105394</t>
        </is>
      </c>
      <c r="Q72" s="3" t="str">
        <f>HYPERLINK("https://modify.by/img/239186194/1.webp","фото")</f>
        <v>фото</v>
      </c>
      <c r="R72" s="3" t="str">
        <f>HYPERLINK("https://modify.by/catalog/bryuki/239186194/?utm_source=price&amp;utm_medium=xlsx","открыть")</f>
        <v>открыть</v>
      </c>
    </row>
    <row r="73">
      <c r="A73" t="inlineStr">
        <is>
          <t xml:space="preserve">Женский</t>
        </is>
      </c>
      <c r="B73" t="inlineStr">
        <is>
          <t xml:space="preserve">Брюки</t>
        </is>
      </c>
      <c r="C73" t="inlineStr">
        <is>
          <t xml:space="preserve">Брюки чинос классические хлопок</t>
        </is>
      </c>
      <c r="D73" t="inlineStr">
        <is>
          <t xml:space="preserve">PA42W01хаки</t>
        </is>
      </c>
      <c r="E73" t="inlineStr">
        <is>
          <t xml:space="preserve">хаки</t>
        </is>
      </c>
      <c r="F73" t="inlineStr">
        <is>
          <t xml:space="preserve">46</t>
        </is>
      </c>
      <c r="G73">
        <v>46</v>
      </c>
      <c r="H73" s="2">
        <v>40.0</v>
      </c>
      <c r="I73" t="inlineStr">
        <is>
          <t xml:space="preserve">хлопок</t>
        </is>
      </c>
      <c r="J73" t="inlineStr">
        <is>
          <t xml:space="preserve">демисезон</t>
        </is>
      </c>
      <c r="K73" t="inlineStr">
        <is>
          <t xml:space="preserve">Бангладеш</t>
        </is>
      </c>
      <c r="L73" t="inlineStr">
        <is>
          <t xml:space="preserve">6204623900</t>
        </is>
      </c>
      <c r="M73" t="inlineStr">
        <is>
          <t xml:space="preserve">Декларация № ЕАЭС № BY/112 11.01. ТР017 122.01 08246, до 19.04.2028</t>
        </is>
      </c>
      <c r="N73" t="inlineStr">
        <is>
          <t xml:space="preserve">32 × 31 × 4</t>
        </is>
      </c>
      <c r="O73" t="inlineStr">
        <is>
          <t xml:space="preserve">0,39</t>
        </is>
      </c>
      <c r="P73" t="inlineStr">
        <is>
          <t xml:space="preserve">4816148105400</t>
        </is>
      </c>
      <c r="Q73" s="3" t="str">
        <f>HYPERLINK("https://modify.by/img/239186194/1.webp","фото")</f>
        <v>фото</v>
      </c>
      <c r="R73" s="3" t="str">
        <f>HYPERLINK("https://modify.by/catalog/bryuki/239186194/?utm_source=price&amp;utm_medium=xlsx","открыть")</f>
        <v>открыть</v>
      </c>
    </row>
    <row r="74">
      <c r="A74" t="inlineStr">
        <is>
          <t xml:space="preserve">Женский</t>
        </is>
      </c>
      <c r="B74" t="inlineStr">
        <is>
          <t xml:space="preserve">Брюки</t>
        </is>
      </c>
      <c r="C74" t="inlineStr">
        <is>
          <t xml:space="preserve">Брюки чинос летние больших размеров</t>
        </is>
      </c>
      <c r="D74" t="inlineStr">
        <is>
          <t xml:space="preserve">PA42W04полынь</t>
        </is>
      </c>
      <c r="E74" t="inlineStr">
        <is>
          <t xml:space="preserve">полынь</t>
        </is>
      </c>
      <c r="F74" t="inlineStr">
        <is>
          <t xml:space="preserve">48</t>
        </is>
      </c>
      <c r="G74">
        <v>1</v>
      </c>
      <c r="H74" s="2">
        <v>39.0</v>
      </c>
      <c r="I74" t="inlineStr">
        <is>
          <t xml:space="preserve">хлопок 62%, вискоза 35%, эластан 3%</t>
        </is>
      </c>
      <c r="J74" t="inlineStr">
        <is>
          <t xml:space="preserve">демисезон</t>
        </is>
      </c>
      <c r="K74" t="inlineStr">
        <is>
          <t xml:space="preserve">Бангладеш</t>
        </is>
      </c>
      <c r="L74" t="inlineStr">
        <is>
          <t xml:space="preserve">6204623900</t>
        </is>
      </c>
      <c r="M74" t="inlineStr">
        <is>
          <t xml:space="preserve">Декларация № ЕАЭС № BY/112 11.01. ТР017 122.01 08246, до 19.04.2028</t>
        </is>
      </c>
      <c r="N74" t="inlineStr">
        <is>
          <t xml:space="preserve">33 × 22 × 2</t>
        </is>
      </c>
      <c r="O74" t="inlineStr">
        <is>
          <t xml:space="preserve">0,42</t>
        </is>
      </c>
      <c r="P74" t="inlineStr">
        <is>
          <t xml:space="preserve">4816148103598</t>
        </is>
      </c>
      <c r="Q74" s="3" t="str">
        <f>HYPERLINK("https://modify.by/img/234681644/1.webp","фото")</f>
        <v>фото</v>
      </c>
      <c r="R74" s="3" t="str">
        <f>HYPERLINK("https://modify.by/catalog/bryuki/234681644/?utm_source=price&amp;utm_medium=xlsx","открыть")</f>
        <v>открыть</v>
      </c>
    </row>
    <row r="75">
      <c r="A75" t="inlineStr">
        <is>
          <t xml:space="preserve">Женский</t>
        </is>
      </c>
      <c r="B75" t="inlineStr">
        <is>
          <t xml:space="preserve">Брюки</t>
        </is>
      </c>
      <c r="C75" t="inlineStr">
        <is>
          <t xml:space="preserve">Брюки чиносы летние укороченные хлопок</t>
        </is>
      </c>
      <c r="D75" t="inlineStr">
        <is>
          <t xml:space="preserve">PA42W01пыльная роза</t>
        </is>
      </c>
      <c r="E75" t="inlineStr">
        <is>
          <t xml:space="preserve">пыльная роза</t>
        </is>
      </c>
      <c r="F75" t="inlineStr">
        <is>
          <t xml:space="preserve">44</t>
        </is>
      </c>
      <c r="G75">
        <v>11</v>
      </c>
      <c r="H75" s="2">
        <v>40.0</v>
      </c>
      <c r="I75" t="inlineStr">
        <is>
          <t xml:space="preserve">хлопок</t>
        </is>
      </c>
      <c r="J75" t="inlineStr">
        <is>
          <t xml:space="preserve">демисезон</t>
        </is>
      </c>
      <c r="K75" t="inlineStr">
        <is>
          <t xml:space="preserve">Бангладеш</t>
        </is>
      </c>
      <c r="L75" t="inlineStr">
        <is>
          <t xml:space="preserve">6204623900</t>
        </is>
      </c>
      <c r="M75" t="inlineStr">
        <is>
          <t xml:space="preserve">Декларация № ЕАЭС № BY/112 11.01. ТР017 122.01 08246, до 19.04.2028</t>
        </is>
      </c>
      <c r="N75" t="inlineStr">
        <is>
          <t xml:space="preserve">34 × 26 × 3</t>
        </is>
      </c>
      <c r="O75" t="inlineStr">
        <is>
          <t xml:space="preserve">0,39</t>
        </is>
      </c>
      <c r="P75" t="inlineStr">
        <is>
          <t xml:space="preserve">4816148105257</t>
        </is>
      </c>
      <c r="Q75" s="3" t="str">
        <f>HYPERLINK("https://modify.by/img/239186192/1.webp","фото")</f>
        <v>фото</v>
      </c>
      <c r="R75" s="3" t="str">
        <f>HYPERLINK("https://modify.by/catalog/bryuki/239186192/?utm_source=price&amp;utm_medium=xlsx","открыть")</f>
        <v>открыть</v>
      </c>
    </row>
    <row r="76">
      <c r="A76" t="inlineStr">
        <is>
          <t xml:space="preserve">Женский</t>
        </is>
      </c>
      <c r="B76" t="inlineStr">
        <is>
          <t xml:space="preserve">Брюки</t>
        </is>
      </c>
      <c r="C76" t="inlineStr">
        <is>
          <t xml:space="preserve">Брюки, песочный, арт. PA02W3**Песочный</t>
        </is>
      </c>
      <c r="D76" t="inlineStr">
        <is>
          <t xml:space="preserve">PA02W3**Песочный</t>
        </is>
      </c>
      <c r="E76" t="inlineStr">
        <is>
          <t xml:space="preserve">песочный</t>
        </is>
      </c>
      <c r="F76" t="inlineStr">
        <is>
          <t xml:space="preserve">42</t>
        </is>
      </c>
      <c r="G76">
        <v>1</v>
      </c>
      <c r="H76" s="2">
        <v>37.0</v>
      </c>
      <c r="I76" t="inlineStr">
        <is>
          <t xml:space="preserve">хлопок 72%, эластан 3%, вискоза 25%</t>
        </is>
      </c>
      <c r="J76" t="inlineStr">
        <is>
          <t xml:space="preserve">круглогодичный</t>
        </is>
      </c>
      <c r="K76" t="inlineStr">
        <is>
          <t xml:space="preserve">Бангладеш</t>
        </is>
      </c>
      <c r="L76" t="inlineStr">
        <is>
          <t xml:space="preserve">6203411000</t>
        </is>
      </c>
      <c r="M76" t="inlineStr">
        <is>
          <t xml:space="preserve">по запросу</t>
        </is>
      </c>
      <c r="N76"/>
      <c r="O76"/>
      <c r="P76" t="inlineStr">
        <is>
          <t xml:space="preserve">8595633702824</t>
        </is>
      </c>
      <c r="Q76" s="3" t="str">
        <f>HYPERLINK("https://modify.by/img/66362408/1.webp","фото")</f>
        <v>фото</v>
      </c>
      <c r="R76" s="3" t="str">
        <f>HYPERLINK("https://modify.by/catalog/bryuki/66362408/?utm_source=price&amp;utm_medium=xlsx","открыть")</f>
        <v>открыть</v>
      </c>
    </row>
    <row r="77">
      <c r="A77" t="inlineStr">
        <is>
          <t xml:space="preserve">Женский</t>
        </is>
      </c>
      <c r="B77" t="inlineStr">
        <is>
          <t xml:space="preserve">Брюки</t>
        </is>
      </c>
      <c r="C77" t="inlineStr">
        <is>
          <t xml:space="preserve">Брюки, песочный, арт. PA02W3**Песочный</t>
        </is>
      </c>
      <c r="D77" t="inlineStr">
        <is>
          <t xml:space="preserve">PA02W3**Песочный</t>
        </is>
      </c>
      <c r="E77" t="inlineStr">
        <is>
          <t xml:space="preserve">песочный</t>
        </is>
      </c>
      <c r="F77" t="inlineStr">
        <is>
          <t xml:space="preserve">44</t>
        </is>
      </c>
      <c r="G77">
        <v>2</v>
      </c>
      <c r="H77" s="2">
        <v>37.0</v>
      </c>
      <c r="I77" t="inlineStr">
        <is>
          <t xml:space="preserve">хлопок 72%, эластан 3%, вискоза 25%</t>
        </is>
      </c>
      <c r="J77" t="inlineStr">
        <is>
          <t xml:space="preserve">круглогодичный</t>
        </is>
      </c>
      <c r="K77" t="inlineStr">
        <is>
          <t xml:space="preserve">Бангладеш</t>
        </is>
      </c>
      <c r="L77" t="inlineStr">
        <is>
          <t xml:space="preserve">6203411000</t>
        </is>
      </c>
      <c r="M77" t="inlineStr">
        <is>
          <t xml:space="preserve">по запросу</t>
        </is>
      </c>
      <c r="N77"/>
      <c r="O77"/>
      <c r="P77" t="inlineStr">
        <is>
          <t xml:space="preserve">4816148177728</t>
        </is>
      </c>
      <c r="Q77" s="3" t="str">
        <f>HYPERLINK("https://modify.by/img/66362408/1.webp","фото")</f>
        <v>фото</v>
      </c>
      <c r="R77" s="3" t="str">
        <f>HYPERLINK("https://modify.by/catalog/bryuki/66362408/?utm_source=price&amp;utm_medium=xlsx","открыть")</f>
        <v>открыть</v>
      </c>
    </row>
    <row r="78">
      <c r="A78" t="inlineStr">
        <is>
          <t xml:space="preserve">Женский</t>
        </is>
      </c>
      <c r="B78" t="inlineStr">
        <is>
          <t xml:space="preserve">Брюки</t>
        </is>
      </c>
      <c r="C78" t="inlineStr">
        <is>
          <t xml:space="preserve">Брюки, песочный, арт. PA02W3**Песочный</t>
        </is>
      </c>
      <c r="D78" t="inlineStr">
        <is>
          <t xml:space="preserve">PA02W3**Песочный</t>
        </is>
      </c>
      <c r="E78" t="inlineStr">
        <is>
          <t xml:space="preserve">песочный</t>
        </is>
      </c>
      <c r="F78" t="inlineStr">
        <is>
          <t xml:space="preserve">44</t>
        </is>
      </c>
      <c r="G78">
        <v>2</v>
      </c>
      <c r="H78" s="2">
        <v>37.0</v>
      </c>
      <c r="I78" t="inlineStr">
        <is>
          <t xml:space="preserve">хлопок 72%, эластан 3%, вискоза 25%</t>
        </is>
      </c>
      <c r="J78" t="inlineStr">
        <is>
          <t xml:space="preserve">круглогодичный</t>
        </is>
      </c>
      <c r="K78" t="inlineStr">
        <is>
          <t xml:space="preserve">Бангладеш</t>
        </is>
      </c>
      <c r="L78" t="inlineStr">
        <is>
          <t xml:space="preserve">6203411000</t>
        </is>
      </c>
      <c r="M78" t="inlineStr">
        <is>
          <t xml:space="preserve">по запросу</t>
        </is>
      </c>
      <c r="N78"/>
      <c r="O78"/>
      <c r="P78" t="inlineStr">
        <is>
          <t xml:space="preserve">8595633702831</t>
        </is>
      </c>
      <c r="Q78" s="3" t="str">
        <f>HYPERLINK("https://modify.by/img/66362408/1.webp","фото")</f>
        <v>фото</v>
      </c>
      <c r="R78" s="3" t="str">
        <f>HYPERLINK("https://modify.by/catalog/bryuki/66362408/?utm_source=price&amp;utm_medium=xlsx","открыть")</f>
        <v>открыть</v>
      </c>
    </row>
    <row r="79">
      <c r="A79" t="inlineStr">
        <is>
          <t xml:space="preserve">Женский</t>
        </is>
      </c>
      <c r="B79" t="inlineStr">
        <is>
          <t xml:space="preserve">Брюки</t>
        </is>
      </c>
      <c r="C79" t="inlineStr">
        <is>
          <t xml:space="preserve">Брюки, песочный, арт. PA02W3**Песочный</t>
        </is>
      </c>
      <c r="D79" t="inlineStr">
        <is>
          <t xml:space="preserve">PA02W3**Песочный</t>
        </is>
      </c>
      <c r="E79" t="inlineStr">
        <is>
          <t xml:space="preserve">песочный</t>
        </is>
      </c>
      <c r="F79" t="inlineStr">
        <is>
          <t xml:space="preserve">46</t>
        </is>
      </c>
      <c r="G79">
        <v>1</v>
      </c>
      <c r="H79" s="2">
        <v>37.0</v>
      </c>
      <c r="I79" t="inlineStr">
        <is>
          <t xml:space="preserve">хлопок 72%, эластан 3%, вискоза 25%</t>
        </is>
      </c>
      <c r="J79" t="inlineStr">
        <is>
          <t xml:space="preserve">круглогодичный</t>
        </is>
      </c>
      <c r="K79" t="inlineStr">
        <is>
          <t xml:space="preserve">Бангладеш</t>
        </is>
      </c>
      <c r="L79" t="inlineStr">
        <is>
          <t xml:space="preserve">6203411000</t>
        </is>
      </c>
      <c r="M79" t="inlineStr">
        <is>
          <t xml:space="preserve">по запросу</t>
        </is>
      </c>
      <c r="N79"/>
      <c r="O79"/>
      <c r="P79" t="inlineStr">
        <is>
          <t xml:space="preserve">8595633702848</t>
        </is>
      </c>
      <c r="Q79" s="3" t="str">
        <f>HYPERLINK("https://modify.by/img/66362408/1.webp","фото")</f>
        <v>фото</v>
      </c>
      <c r="R79" s="3" t="str">
        <f>HYPERLINK("https://modify.by/catalog/bryuki/66362408/?utm_source=price&amp;utm_medium=xlsx","открыть")</f>
        <v>открыть</v>
      </c>
    </row>
    <row r="80">
      <c r="A80" t="inlineStr">
        <is>
          <t xml:space="preserve">Женский</t>
        </is>
      </c>
      <c r="B80" t="inlineStr">
        <is>
          <t xml:space="preserve">Брюки</t>
        </is>
      </c>
      <c r="C80" t="inlineStr">
        <is>
          <t xml:space="preserve">Джинсы белые скинни стрейч брюки летние</t>
        </is>
      </c>
      <c r="D80" t="inlineStr">
        <is>
          <t xml:space="preserve">JE42W01белый</t>
        </is>
      </c>
      <c r="E80" t="inlineStr">
        <is>
          <t xml:space="preserve">белый</t>
        </is>
      </c>
      <c r="F80" t="inlineStr">
        <is>
          <t xml:space="preserve">42</t>
        </is>
      </c>
      <c r="G80">
        <v>1</v>
      </c>
      <c r="H80" s="2">
        <v>37.0</v>
      </c>
      <c r="I80" t="inlineStr">
        <is>
          <t xml:space="preserve">хлопок 60%, полиэстер 38%, эластан 2%</t>
        </is>
      </c>
      <c r="J80" t="inlineStr">
        <is>
          <t xml:space="preserve">демисезон</t>
        </is>
      </c>
      <c r="K80" t="inlineStr">
        <is>
          <t xml:space="preserve">Бангладеш</t>
        </is>
      </c>
      <c r="L80" t="inlineStr">
        <is>
          <t xml:space="preserve">6204623100</t>
        </is>
      </c>
      <c r="M80" t="inlineStr">
        <is>
          <t xml:space="preserve">Декларация № ЕАЭС № BY/112 11.01. ТР017 122.01 08246, до 19.04.2028</t>
        </is>
      </c>
      <c r="N80" t="inlineStr">
        <is>
          <t xml:space="preserve">32 × 22 × 2</t>
        </is>
      </c>
      <c r="O80" t="inlineStr">
        <is>
          <t xml:space="preserve">0,48</t>
        </is>
      </c>
      <c r="P80" t="inlineStr">
        <is>
          <t xml:space="preserve">4816148101037</t>
        </is>
      </c>
      <c r="Q80" s="3" t="str">
        <f>HYPERLINK("https://modify.by/img/234682262/1.webp","фото")</f>
        <v>фото</v>
      </c>
      <c r="R80" s="3" t="str">
        <f>HYPERLINK("https://modify.by/catalog/bryuki/234682262/?utm_source=price&amp;utm_medium=xlsx","открыть")</f>
        <v>открыть</v>
      </c>
    </row>
    <row r="81">
      <c r="A81" t="inlineStr">
        <is>
          <t xml:space="preserve">Женский</t>
        </is>
      </c>
      <c r="B81" t="inlineStr">
        <is>
          <t xml:space="preserve">Брюки</t>
        </is>
      </c>
      <c r="C81" t="inlineStr">
        <is>
          <t xml:space="preserve">Джинсы белые скинни стрейч брюки летние</t>
        </is>
      </c>
      <c r="D81" t="inlineStr">
        <is>
          <t xml:space="preserve">JE42W01белый</t>
        </is>
      </c>
      <c r="E81" t="inlineStr">
        <is>
          <t xml:space="preserve">белый</t>
        </is>
      </c>
      <c r="F81" t="inlineStr">
        <is>
          <t xml:space="preserve">44</t>
        </is>
      </c>
      <c r="G81">
        <v>15</v>
      </c>
      <c r="H81" s="2">
        <v>37.0</v>
      </c>
      <c r="I81" t="inlineStr">
        <is>
          <t xml:space="preserve">хлопок 60%, полиэстер 38%, эластан 2%</t>
        </is>
      </c>
      <c r="J81" t="inlineStr">
        <is>
          <t xml:space="preserve">демисезон</t>
        </is>
      </c>
      <c r="K81" t="inlineStr">
        <is>
          <t xml:space="preserve">Бангладеш</t>
        </is>
      </c>
      <c r="L81" t="inlineStr">
        <is>
          <t xml:space="preserve">6204623100</t>
        </is>
      </c>
      <c r="M81" t="inlineStr">
        <is>
          <t xml:space="preserve">Декларация № ЕАЭС № BY/112 11.01. ТР017 122.01 08246, до 19.04.2028</t>
        </is>
      </c>
      <c r="N81" t="inlineStr">
        <is>
          <t xml:space="preserve">32 × 22 × 2</t>
        </is>
      </c>
      <c r="O81" t="inlineStr">
        <is>
          <t xml:space="preserve">0,48</t>
        </is>
      </c>
      <c r="P81" t="inlineStr">
        <is>
          <t xml:space="preserve">4816148101044</t>
        </is>
      </c>
      <c r="Q81" s="3" t="str">
        <f>HYPERLINK("https://modify.by/img/234682262/1.webp","фото")</f>
        <v>фото</v>
      </c>
      <c r="R81" s="3" t="str">
        <f>HYPERLINK("https://modify.by/catalog/bryuki/234682262/?utm_source=price&amp;utm_medium=xlsx","открыть")</f>
        <v>открыть</v>
      </c>
    </row>
    <row r="82">
      <c r="A82" t="inlineStr">
        <is>
          <t xml:space="preserve">Женский</t>
        </is>
      </c>
      <c r="B82" t="inlineStr">
        <is>
          <t xml:space="preserve">Брюки</t>
        </is>
      </c>
      <c r="C82" t="inlineStr">
        <is>
          <t xml:space="preserve">Джинсы белые скинни стрейч брюки летние</t>
        </is>
      </c>
      <c r="D82" t="inlineStr">
        <is>
          <t xml:space="preserve">JE42W01белый</t>
        </is>
      </c>
      <c r="E82" t="inlineStr">
        <is>
          <t xml:space="preserve">белый</t>
        </is>
      </c>
      <c r="F82" t="inlineStr">
        <is>
          <t xml:space="preserve">46</t>
        </is>
      </c>
      <c r="G82">
        <v>27</v>
      </c>
      <c r="H82" s="2">
        <v>37.0</v>
      </c>
      <c r="I82" t="inlineStr">
        <is>
          <t xml:space="preserve">хлопок 60%, полиэстер 38%, эластан 2%</t>
        </is>
      </c>
      <c r="J82" t="inlineStr">
        <is>
          <t xml:space="preserve">демисезон</t>
        </is>
      </c>
      <c r="K82" t="inlineStr">
        <is>
          <t xml:space="preserve">Бангладеш</t>
        </is>
      </c>
      <c r="L82" t="inlineStr">
        <is>
          <t xml:space="preserve">6204623100</t>
        </is>
      </c>
      <c r="M82" t="inlineStr">
        <is>
          <t xml:space="preserve">Декларация № ЕАЭС № BY/112 11.01. ТР017 122.01 08246, до 19.04.2028</t>
        </is>
      </c>
      <c r="N82" t="inlineStr">
        <is>
          <t xml:space="preserve">32 × 22 × 2</t>
        </is>
      </c>
      <c r="O82" t="inlineStr">
        <is>
          <t xml:space="preserve">0,48</t>
        </is>
      </c>
      <c r="P82" t="inlineStr">
        <is>
          <t xml:space="preserve">4816148101051</t>
        </is>
      </c>
      <c r="Q82" s="3" t="str">
        <f>HYPERLINK("https://modify.by/img/234682262/1.webp","фото")</f>
        <v>фото</v>
      </c>
      <c r="R82" s="3" t="str">
        <f>HYPERLINK("https://modify.by/catalog/bryuki/234682262/?utm_source=price&amp;utm_medium=xlsx","открыть")</f>
        <v>открыть</v>
      </c>
    </row>
    <row r="83">
      <c r="A83" t="inlineStr">
        <is>
          <t xml:space="preserve">Женский</t>
        </is>
      </c>
      <c r="B83" t="inlineStr">
        <is>
          <t xml:space="preserve">Брюки</t>
        </is>
      </c>
      <c r="C83" t="inlineStr">
        <is>
          <t xml:space="preserve">Джинсы белые скинни стрейч брюки летние</t>
        </is>
      </c>
      <c r="D83" t="inlineStr">
        <is>
          <t xml:space="preserve">JE42W01белый</t>
        </is>
      </c>
      <c r="E83" t="inlineStr">
        <is>
          <t xml:space="preserve">белый</t>
        </is>
      </c>
      <c r="F83" t="inlineStr">
        <is>
          <t xml:space="preserve">48</t>
        </is>
      </c>
      <c r="G83">
        <v>59</v>
      </c>
      <c r="H83" s="2">
        <v>37.0</v>
      </c>
      <c r="I83" t="inlineStr">
        <is>
          <t xml:space="preserve">хлопок 60%, полиэстер 38%, эластан 2%</t>
        </is>
      </c>
      <c r="J83" t="inlineStr">
        <is>
          <t xml:space="preserve">демисезон</t>
        </is>
      </c>
      <c r="K83" t="inlineStr">
        <is>
          <t xml:space="preserve">Бангладеш</t>
        </is>
      </c>
      <c r="L83" t="inlineStr">
        <is>
          <t xml:space="preserve">6204623100</t>
        </is>
      </c>
      <c r="M83" t="inlineStr">
        <is>
          <t xml:space="preserve">Декларация № ЕАЭС № BY/112 11.01. ТР017 122.01 08246, до 19.04.2028</t>
        </is>
      </c>
      <c r="N83" t="inlineStr">
        <is>
          <t xml:space="preserve">32 × 22 × 2</t>
        </is>
      </c>
      <c r="O83" t="inlineStr">
        <is>
          <t xml:space="preserve">0,48</t>
        </is>
      </c>
      <c r="P83" t="inlineStr">
        <is>
          <t xml:space="preserve">4816148101068</t>
        </is>
      </c>
      <c r="Q83" s="3" t="str">
        <f>HYPERLINK("https://modify.by/img/234682262/1.webp","фото")</f>
        <v>фото</v>
      </c>
      <c r="R83" s="3" t="str">
        <f>HYPERLINK("https://modify.by/catalog/bryuki/234682262/?utm_source=price&amp;utm_medium=xlsx","открыть")</f>
        <v>открыть</v>
      </c>
    </row>
    <row r="84">
      <c r="A84" t="inlineStr">
        <is>
          <t xml:space="preserve">Женский</t>
        </is>
      </c>
      <c r="B84" t="inlineStr">
        <is>
          <t xml:space="preserve">Брюки</t>
        </is>
      </c>
      <c r="C84" t="inlineStr">
        <is>
          <t xml:space="preserve">Джинсы белые скинни стрейч брюки летние</t>
        </is>
      </c>
      <c r="D84" t="inlineStr">
        <is>
          <t xml:space="preserve">JE42W01белый</t>
        </is>
      </c>
      <c r="E84" t="inlineStr">
        <is>
          <t xml:space="preserve">белый</t>
        </is>
      </c>
      <c r="F84" t="inlineStr">
        <is>
          <t xml:space="preserve">50</t>
        </is>
      </c>
      <c r="G84">
        <v>27</v>
      </c>
      <c r="H84" s="2">
        <v>37.0</v>
      </c>
      <c r="I84" t="inlineStr">
        <is>
          <t xml:space="preserve">хлопок 60%, полиэстер 38%, эластан 2%</t>
        </is>
      </c>
      <c r="J84" t="inlineStr">
        <is>
          <t xml:space="preserve">демисезон</t>
        </is>
      </c>
      <c r="K84" t="inlineStr">
        <is>
          <t xml:space="preserve">Бангладеш</t>
        </is>
      </c>
      <c r="L84" t="inlineStr">
        <is>
          <t xml:space="preserve">6204623100</t>
        </is>
      </c>
      <c r="M84" t="inlineStr">
        <is>
          <t xml:space="preserve">Декларация № ЕАЭС № BY/112 11.01. ТР017 122.01 08246, до 19.04.2028</t>
        </is>
      </c>
      <c r="N84" t="inlineStr">
        <is>
          <t xml:space="preserve">32 × 22 × 2</t>
        </is>
      </c>
      <c r="O84" t="inlineStr">
        <is>
          <t xml:space="preserve">0,48</t>
        </is>
      </c>
      <c r="P84" t="inlineStr">
        <is>
          <t xml:space="preserve">4816148101075</t>
        </is>
      </c>
      <c r="Q84" s="3" t="str">
        <f>HYPERLINK("https://modify.by/img/234682262/1.webp","фото")</f>
        <v>фото</v>
      </c>
      <c r="R84" s="3" t="str">
        <f>HYPERLINK("https://modify.by/catalog/bryuki/234682262/?utm_source=price&amp;utm_medium=xlsx","открыть")</f>
        <v>открыть</v>
      </c>
    </row>
    <row r="85">
      <c r="A85" t="inlineStr">
        <is>
          <t xml:space="preserve">Женский</t>
        </is>
      </c>
      <c r="B85" t="inlineStr">
        <is>
          <t xml:space="preserve">Брюки</t>
        </is>
      </c>
      <c r="C85" t="inlineStr">
        <is>
          <t xml:space="preserve">Джинсы белые скинни стрейч брюки летние</t>
        </is>
      </c>
      <c r="D85" t="inlineStr">
        <is>
          <t xml:space="preserve">JE42W01белый</t>
        </is>
      </c>
      <c r="E85" t="inlineStr">
        <is>
          <t xml:space="preserve">белый</t>
        </is>
      </c>
      <c r="F85" t="inlineStr">
        <is>
          <t xml:space="preserve">52</t>
        </is>
      </c>
      <c r="G85">
        <v>65</v>
      </c>
      <c r="H85" s="2">
        <v>37.0</v>
      </c>
      <c r="I85" t="inlineStr">
        <is>
          <t xml:space="preserve">хлопок 60%, полиэстер 38%, эластан 2%</t>
        </is>
      </c>
      <c r="J85" t="inlineStr">
        <is>
          <t xml:space="preserve">демисезон</t>
        </is>
      </c>
      <c r="K85" t="inlineStr">
        <is>
          <t xml:space="preserve">Бангладеш</t>
        </is>
      </c>
      <c r="L85" t="inlineStr">
        <is>
          <t xml:space="preserve">6204623100</t>
        </is>
      </c>
      <c r="M85" t="inlineStr">
        <is>
          <t xml:space="preserve">Декларация № ЕАЭС № BY/112 11.01. ТР017 122.01 08246, до 19.04.2028</t>
        </is>
      </c>
      <c r="N85" t="inlineStr">
        <is>
          <t xml:space="preserve">32 × 22 × 2</t>
        </is>
      </c>
      <c r="O85" t="inlineStr">
        <is>
          <t xml:space="preserve">0,48</t>
        </is>
      </c>
      <c r="P85" t="inlineStr">
        <is>
          <t xml:space="preserve">4816148101082</t>
        </is>
      </c>
      <c r="Q85" s="3" t="str">
        <f>HYPERLINK("https://modify.by/img/234682262/1.webp","фото")</f>
        <v>фото</v>
      </c>
      <c r="R85" s="3" t="str">
        <f>HYPERLINK("https://modify.by/catalog/bryuki/234682262/?utm_source=price&amp;utm_medium=xlsx","открыть")</f>
        <v>открыть</v>
      </c>
    </row>
    <row r="86">
      <c r="A86" t="inlineStr">
        <is>
          <t xml:space="preserve">Женский</t>
        </is>
      </c>
      <c r="B86" t="inlineStr">
        <is>
          <t xml:space="preserve">Брюки</t>
        </is>
      </c>
      <c r="C86" t="inlineStr">
        <is>
          <t xml:space="preserve">Джинсы белые скинни стрейч брюки летние</t>
        </is>
      </c>
      <c r="D86" t="inlineStr">
        <is>
          <t xml:space="preserve">JE42W01белый</t>
        </is>
      </c>
      <c r="E86" t="inlineStr">
        <is>
          <t xml:space="preserve">белый</t>
        </is>
      </c>
      <c r="F86" t="inlineStr">
        <is>
          <t xml:space="preserve">54</t>
        </is>
      </c>
      <c r="G86">
        <v>1</v>
      </c>
      <c r="H86" s="2">
        <v>37.0</v>
      </c>
      <c r="I86" t="inlineStr">
        <is>
          <t xml:space="preserve">хлопок 60%, полиэстер 38%, эластан 2%</t>
        </is>
      </c>
      <c r="J86" t="inlineStr">
        <is>
          <t xml:space="preserve">демисезон</t>
        </is>
      </c>
      <c r="K86" t="inlineStr">
        <is>
          <t xml:space="preserve">Бангладеш</t>
        </is>
      </c>
      <c r="L86" t="inlineStr">
        <is>
          <t xml:space="preserve">6204623100</t>
        </is>
      </c>
      <c r="M86" t="inlineStr">
        <is>
          <t xml:space="preserve">Декларация № ЕАЭС № BY/112 11.01. ТР017 122.01 08246, до 19.04.2028</t>
        </is>
      </c>
      <c r="N86" t="inlineStr">
        <is>
          <t xml:space="preserve">32 × 22 × 2</t>
        </is>
      </c>
      <c r="O86" t="inlineStr">
        <is>
          <t xml:space="preserve">0,48</t>
        </is>
      </c>
      <c r="P86" t="inlineStr">
        <is>
          <t xml:space="preserve">4816148101099</t>
        </is>
      </c>
      <c r="Q86" s="3" t="str">
        <f>HYPERLINK("https://modify.by/img/234682262/1.webp","фото")</f>
        <v>фото</v>
      </c>
      <c r="R86" s="3" t="str">
        <f>HYPERLINK("https://modify.by/catalog/bryuki/234682262/?utm_source=price&amp;utm_medium=xlsx","открыть")</f>
        <v>открыть</v>
      </c>
    </row>
    <row r="87">
      <c r="A87" t="inlineStr">
        <is>
          <t xml:space="preserve">Женский</t>
        </is>
      </c>
      <c r="B87" t="inlineStr">
        <is>
          <t xml:space="preserve">Брюки</t>
        </is>
      </c>
      <c r="C87" t="inlineStr">
        <is>
          <t xml:space="preserve">брюки женские с регулируемым поясом, песочный</t>
        </is>
      </c>
      <c r="D87" t="inlineStr">
        <is>
          <t xml:space="preserve">PA22W04Песочный</t>
        </is>
      </c>
      <c r="E87" t="inlineStr">
        <is>
          <t xml:space="preserve">песочный</t>
        </is>
      </c>
      <c r="F87" t="inlineStr">
        <is>
          <t xml:space="preserve">48-50</t>
        </is>
      </c>
      <c r="G87">
        <v>1</v>
      </c>
      <c r="H87" s="2">
        <v>31.0</v>
      </c>
      <c r="I87" t="inlineStr">
        <is>
          <t xml:space="preserve">хлопок 100%</t>
        </is>
      </c>
      <c r="J87" t="inlineStr">
        <is>
          <t xml:space="preserve">Демисезон</t>
        </is>
      </c>
      <c r="K87" t="inlineStr">
        <is>
          <t xml:space="preserve">Бангладеш</t>
        </is>
      </c>
      <c r="L87" t="inlineStr">
        <is>
          <t xml:space="preserve">6204623900</t>
        </is>
      </c>
      <c r="M87" t="inlineStr">
        <is>
          <t xml:space="preserve">по запросу</t>
        </is>
      </c>
      <c r="N87"/>
      <c r="O87"/>
      <c r="P87" t="inlineStr">
        <is>
          <t xml:space="preserve">2016957036922</t>
        </is>
      </c>
      <c r="Q87" s="3" t="str">
        <f>HYPERLINK("https://modify.by/img/96098783/1.webp","фото")</f>
        <v>фото</v>
      </c>
      <c r="R87" s="3" t="str">
        <f>HYPERLINK("https://modify.by/catalog/bryuki/96098783/?utm_source=price&amp;utm_medium=xlsx","открыть")</f>
        <v>открыть</v>
      </c>
    </row>
    <row r="88">
      <c r="A88" t="inlineStr">
        <is>
          <t xml:space="preserve">Женский</t>
        </is>
      </c>
      <c r="B88" t="inlineStr">
        <is>
          <t xml:space="preserve">Брюки</t>
        </is>
      </c>
      <c r="C88" t="inlineStr">
        <is>
          <t xml:space="preserve">брюки женские с регулируемым поясом, песочный</t>
        </is>
      </c>
      <c r="D88" t="inlineStr">
        <is>
          <t xml:space="preserve">PA22W04Песочный</t>
        </is>
      </c>
      <c r="E88" t="inlineStr">
        <is>
          <t xml:space="preserve">песочный</t>
        </is>
      </c>
      <c r="F88" t="inlineStr">
        <is>
          <t xml:space="preserve">54-56</t>
        </is>
      </c>
      <c r="G88">
        <v>1</v>
      </c>
      <c r="H88" s="2">
        <v>31.0</v>
      </c>
      <c r="I88" t="inlineStr">
        <is>
          <t xml:space="preserve">хлопок 100%</t>
        </is>
      </c>
      <c r="J88" t="inlineStr">
        <is>
          <t xml:space="preserve">Демисезон</t>
        </is>
      </c>
      <c r="K88" t="inlineStr">
        <is>
          <t xml:space="preserve">Бангладеш</t>
        </is>
      </c>
      <c r="L88" t="inlineStr">
        <is>
          <t xml:space="preserve">6204623900</t>
        </is>
      </c>
      <c r="M88" t="inlineStr">
        <is>
          <t xml:space="preserve">по запросу</t>
        </is>
      </c>
      <c r="N88"/>
      <c r="O88"/>
      <c r="P88" t="inlineStr">
        <is>
          <t xml:space="preserve">2016957036892</t>
        </is>
      </c>
      <c r="Q88" s="3" t="str">
        <f>HYPERLINK("https://modify.by/img/96098783/1.webp","фото")</f>
        <v>фото</v>
      </c>
      <c r="R88" s="3" t="str">
        <f>HYPERLINK("https://modify.by/catalog/bryuki/96098783/?utm_source=price&amp;utm_medium=xlsx","открыть")</f>
        <v>открыть</v>
      </c>
    </row>
    <row r="89">
      <c r="A89" t="inlineStr">
        <is>
          <t xml:space="preserve">Женский</t>
        </is>
      </c>
      <c r="B89" t="inlineStr">
        <is>
          <t xml:space="preserve">Брюки</t>
        </is>
      </c>
      <c r="C89" t="inlineStr">
        <is>
          <t xml:space="preserve">брюки женские с регулируемым поясом, темно-синий</t>
        </is>
      </c>
      <c r="D89" t="inlineStr">
        <is>
          <t xml:space="preserve">PA22W04Темно-синий</t>
        </is>
      </c>
      <c r="E89" t="inlineStr">
        <is>
          <t xml:space="preserve">темно-синий</t>
        </is>
      </c>
      <c r="F89" t="inlineStr">
        <is>
          <t xml:space="preserve">42-44</t>
        </is>
      </c>
      <c r="G89">
        <v>1</v>
      </c>
      <c r="H89" s="2">
        <v>31.0</v>
      </c>
      <c r="I89" t="inlineStr">
        <is>
          <t xml:space="preserve">хлопок 100%</t>
        </is>
      </c>
      <c r="J89" t="inlineStr">
        <is>
          <t xml:space="preserve">Демисезон</t>
        </is>
      </c>
      <c r="K89" t="inlineStr">
        <is>
          <t xml:space="preserve">Бангладеш</t>
        </is>
      </c>
      <c r="L89" t="inlineStr">
        <is>
          <t xml:space="preserve">6204623900</t>
        </is>
      </c>
      <c r="M89" t="inlineStr">
        <is>
          <t xml:space="preserve">по запросу</t>
        </is>
      </c>
      <c r="N89"/>
      <c r="O89"/>
      <c r="P89" t="inlineStr">
        <is>
          <t xml:space="preserve">2016957037028</t>
        </is>
      </c>
      <c r="Q89" s="3" t="str">
        <f>HYPERLINK("https://modify.by/img/96098784/1.webp","фото")</f>
        <v>фото</v>
      </c>
      <c r="R89" s="3" t="str">
        <f>HYPERLINK("https://modify.by/catalog/bryuki/96098784/?utm_source=price&amp;utm_medium=xlsx","открыть")</f>
        <v>открыть</v>
      </c>
    </row>
    <row r="90">
      <c r="A90" t="inlineStr">
        <is>
          <t xml:space="preserve">Женский</t>
        </is>
      </c>
      <c r="B90" t="inlineStr">
        <is>
          <t xml:space="preserve">Брюки</t>
        </is>
      </c>
      <c r="C90" t="inlineStr">
        <is>
          <t xml:space="preserve">брюки скинни высокая посадка</t>
        </is>
      </c>
      <c r="D90" t="inlineStr">
        <is>
          <t xml:space="preserve">PA32W03Темно-синий</t>
        </is>
      </c>
      <c r="E90" t="inlineStr">
        <is>
          <t xml:space="preserve">темно-синий</t>
        </is>
      </c>
      <c r="F90" t="inlineStr">
        <is>
          <t xml:space="preserve">46</t>
        </is>
      </c>
      <c r="G90">
        <v>1</v>
      </c>
      <c r="H90" s="2">
        <v>34.0</v>
      </c>
      <c r="I90" t="inlineStr">
        <is>
          <t xml:space="preserve">Хлопок 98% эластан 2%</t>
        </is>
      </c>
      <c r="J90" t="inlineStr">
        <is>
          <t xml:space="preserve">демисезон</t>
        </is>
      </c>
      <c r="K90" t="inlineStr">
        <is>
          <t xml:space="preserve">Бангладеш</t>
        </is>
      </c>
      <c r="L90" t="inlineStr">
        <is>
          <t xml:space="preserve">6204623900</t>
        </is>
      </c>
      <c r="M90" t="inlineStr">
        <is>
          <t xml:space="preserve">по запросу</t>
        </is>
      </c>
      <c r="N90" t="inlineStr">
        <is>
          <t xml:space="preserve">35 × 28 × 2</t>
        </is>
      </c>
      <c r="O90" t="inlineStr">
        <is>
          <t xml:space="preserve">0,38</t>
        </is>
      </c>
      <c r="P90" t="inlineStr">
        <is>
          <t xml:space="preserve">2026620777397</t>
        </is>
      </c>
      <c r="Q90" s="3" t="str">
        <f>HYPERLINK("https://modify.by/img/152405044/1.webp","фото")</f>
        <v>фото</v>
      </c>
      <c r="R90" s="3" t="str">
        <f>HYPERLINK("https://modify.by/catalog/bryuki/152405044/?utm_source=price&amp;utm_medium=xlsx","открыть")</f>
        <v>открыть</v>
      </c>
    </row>
    <row r="91">
      <c r="A91" t="inlineStr">
        <is>
          <t xml:space="preserve">Женский</t>
        </is>
      </c>
      <c r="B91" t="inlineStr">
        <is>
          <t xml:space="preserve">Брюки спортивные</t>
        </is>
      </c>
      <c r="C91" t="inlineStr">
        <is>
          <t xml:space="preserve">Спортивные штаны на резинке футр с начесом</t>
        </is>
      </c>
      <c r="D91" t="inlineStr">
        <is>
          <t xml:space="preserve">PA32W099молочный</t>
        </is>
      </c>
      <c r="E91" t="inlineStr">
        <is>
          <t xml:space="preserve">молочный</t>
        </is>
      </c>
      <c r="F91" t="inlineStr">
        <is>
          <t xml:space="preserve">44/158</t>
        </is>
      </c>
      <c r="G91">
        <v>1</v>
      </c>
      <c r="H91" s="2">
        <v>35.0</v>
      </c>
      <c r="I91" t="inlineStr">
        <is>
          <t xml:space="preserve">100% хлопок</t>
        </is>
      </c>
      <c r="J91" t="inlineStr">
        <is>
          <t xml:space="preserve">круглогодичный</t>
        </is>
      </c>
      <c r="K91" t="inlineStr">
        <is>
          <t xml:space="preserve">Бангладеш</t>
        </is>
      </c>
      <c r="L91" t="inlineStr">
        <is>
          <t xml:space="preserve">6204623900</t>
        </is>
      </c>
      <c r="M91" t="inlineStr">
        <is>
          <t xml:space="preserve">Декларация № ЕАЭС № BY/112 11.01. ТР017 122.01 08246, до 19.04.2028</t>
        </is>
      </c>
      <c r="N91" t="inlineStr">
        <is>
          <t xml:space="preserve">26 × 35 × 4</t>
        </is>
      </c>
      <c r="O91" t="inlineStr">
        <is>
          <t xml:space="preserve">0,7</t>
        </is>
      </c>
      <c r="P91" t="inlineStr">
        <is>
          <t xml:space="preserve">2038096193786</t>
        </is>
      </c>
      <c r="Q91" s="3" t="str">
        <f>HYPERLINK("https://modify.by/img/198251200/1.webp","фото")</f>
        <v>фото</v>
      </c>
      <c r="R91" s="3" t="str">
        <f>HYPERLINK("https://modify.by/catalog/bryuki-sportivnye/198251200/?utm_source=price&amp;utm_medium=xlsx","открыть")</f>
        <v>открыть</v>
      </c>
    </row>
    <row r="92">
      <c r="A92" t="inlineStr">
        <is>
          <t xml:space="preserve">Женский</t>
        </is>
      </c>
      <c r="B92" t="inlineStr">
        <is>
          <t xml:space="preserve">Брюки спортивные</t>
        </is>
      </c>
      <c r="C92" t="inlineStr">
        <is>
          <t xml:space="preserve">Утепленные спортивные палаццо с начесом, зеленый</t>
        </is>
      </c>
      <c r="D92" t="inlineStr">
        <is>
          <t xml:space="preserve">PA32W09зеленый</t>
        </is>
      </c>
      <c r="E92" t="inlineStr">
        <is>
          <t xml:space="preserve">зеленый</t>
        </is>
      </c>
      <c r="F92" t="inlineStr">
        <is>
          <t xml:space="preserve">46/164</t>
        </is>
      </c>
      <c r="G92">
        <v>1</v>
      </c>
      <c r="H92" s="2">
        <v>35.0</v>
      </c>
      <c r="I92" t="inlineStr">
        <is>
          <t xml:space="preserve">100% хлопок</t>
        </is>
      </c>
      <c r="J92" t="inlineStr">
        <is>
          <t xml:space="preserve">круглогодичный</t>
        </is>
      </c>
      <c r="K92" t="inlineStr">
        <is>
          <t xml:space="preserve">Бангладеш</t>
        </is>
      </c>
      <c r="L92" t="inlineStr">
        <is>
          <t xml:space="preserve">6204623900</t>
        </is>
      </c>
      <c r="M92" t="inlineStr">
        <is>
          <t xml:space="preserve">Декларация № ЕАЭС № BY/112 11.01. ТР017 122.01 08246, до 20.04.2028</t>
        </is>
      </c>
      <c r="N92" t="inlineStr">
        <is>
          <t xml:space="preserve">35 × 28 × 4</t>
        </is>
      </c>
      <c r="O92" t="inlineStr">
        <is>
          <t xml:space="preserve">0,8</t>
        </is>
      </c>
      <c r="P92" t="inlineStr">
        <is>
          <t xml:space="preserve">2038096187082</t>
        </is>
      </c>
      <c r="Q92" s="3" t="str">
        <f>HYPERLINK("https://modify.by/img/198200286/1.webp","фото")</f>
        <v>фото</v>
      </c>
      <c r="R92" s="3" t="str">
        <f>HYPERLINK("https://modify.by/catalog/bryuki-sportivnye/198200286/?utm_source=price&amp;utm_medium=xlsx","открыть")</f>
        <v>открыть</v>
      </c>
    </row>
    <row r="93">
      <c r="A93" t="inlineStr">
        <is>
          <t xml:space="preserve">Женский</t>
        </is>
      </c>
      <c r="B93" t="inlineStr">
        <is>
          <t xml:space="preserve">Брюки спортивные</t>
        </is>
      </c>
      <c r="C93" t="inlineStr">
        <is>
          <t xml:space="preserve">Утепленные спортивные палаццо с начесом, молочный</t>
        </is>
      </c>
      <c r="D93" t="inlineStr">
        <is>
          <t xml:space="preserve">PA32W09молочный</t>
        </is>
      </c>
      <c r="E93" t="inlineStr">
        <is>
          <t xml:space="preserve">молочный</t>
        </is>
      </c>
      <c r="F93" t="inlineStr">
        <is>
          <t xml:space="preserve">42/158</t>
        </is>
      </c>
      <c r="G93">
        <v>1</v>
      </c>
      <c r="H93" s="2">
        <v>35.0</v>
      </c>
      <c r="I93" t="inlineStr">
        <is>
          <t xml:space="preserve">100% хлопок</t>
        </is>
      </c>
      <c r="J93" t="inlineStr">
        <is>
          <t xml:space="preserve">круглогодичный</t>
        </is>
      </c>
      <c r="K93" t="inlineStr">
        <is>
          <t xml:space="preserve">Бангладеш</t>
        </is>
      </c>
      <c r="L93" t="inlineStr">
        <is>
          <t xml:space="preserve">6204623900</t>
        </is>
      </c>
      <c r="M93" t="inlineStr">
        <is>
          <t xml:space="preserve">Декларация № ЕАЭС № BY/112 11.01. ТР017 122.01 08246, до 19.04.2028</t>
        </is>
      </c>
      <c r="N93" t="inlineStr">
        <is>
          <t xml:space="preserve">35 × 28 × 4</t>
        </is>
      </c>
      <c r="O93" t="inlineStr">
        <is>
          <t xml:space="preserve">0,8</t>
        </is>
      </c>
      <c r="P93" t="inlineStr">
        <is>
          <t xml:space="preserve">2038096187617</t>
        </is>
      </c>
      <c r="Q93" s="3" t="str">
        <f>HYPERLINK("https://modify.by/img/198200281/1.webp","фото")</f>
        <v>фото</v>
      </c>
      <c r="R93" s="3" t="str">
        <f>HYPERLINK("https://modify.by/catalog/bryuki-sportivnye/198200281/?utm_source=price&amp;utm_medium=xlsx","открыть")</f>
        <v>открыть</v>
      </c>
    </row>
    <row r="94">
      <c r="A94" t="inlineStr">
        <is>
          <t xml:space="preserve">Женский</t>
        </is>
      </c>
      <c r="B94" t="inlineStr">
        <is>
          <t xml:space="preserve">Брюки спортивные</t>
        </is>
      </c>
      <c r="C94" t="inlineStr">
        <is>
          <t xml:space="preserve">Утепленные спортивные палаццо с начесом, молочный</t>
        </is>
      </c>
      <c r="D94" t="inlineStr">
        <is>
          <t xml:space="preserve">PA32W09молочный</t>
        </is>
      </c>
      <c r="E94" t="inlineStr">
        <is>
          <t xml:space="preserve">молочный</t>
        </is>
      </c>
      <c r="F94" t="inlineStr">
        <is>
          <t xml:space="preserve">44/158</t>
        </is>
      </c>
      <c r="G94">
        <v>1</v>
      </c>
      <c r="H94" s="2">
        <v>35.0</v>
      </c>
      <c r="I94" t="inlineStr">
        <is>
          <t xml:space="preserve">100% хлопок</t>
        </is>
      </c>
      <c r="J94" t="inlineStr">
        <is>
          <t xml:space="preserve">круглогодичный</t>
        </is>
      </c>
      <c r="K94" t="inlineStr">
        <is>
          <t xml:space="preserve">Бангладеш</t>
        </is>
      </c>
      <c r="L94" t="inlineStr">
        <is>
          <t xml:space="preserve">6204623900</t>
        </is>
      </c>
      <c r="M94" t="inlineStr">
        <is>
          <t xml:space="preserve">Декларация № ЕАЭС № BY/112 11.01. ТР017 122.01 08246, до 19.04.2028</t>
        </is>
      </c>
      <c r="N94" t="inlineStr">
        <is>
          <t xml:space="preserve">35 × 28 × 4</t>
        </is>
      </c>
      <c r="O94" t="inlineStr">
        <is>
          <t xml:space="preserve">0,8</t>
        </is>
      </c>
      <c r="P94" t="inlineStr">
        <is>
          <t xml:space="preserve">2038096187624</t>
        </is>
      </c>
      <c r="Q94" s="3" t="str">
        <f>HYPERLINK("https://modify.by/img/198200281/1.webp","фото")</f>
        <v>фото</v>
      </c>
      <c r="R94" s="3" t="str">
        <f>HYPERLINK("https://modify.by/catalog/bryuki-sportivnye/198200281/?utm_source=price&amp;utm_medium=xlsx","открыть")</f>
        <v>открыть</v>
      </c>
    </row>
    <row r="95">
      <c r="A95" t="inlineStr">
        <is>
          <t xml:space="preserve">Женский</t>
        </is>
      </c>
      <c r="B95" t="inlineStr">
        <is>
          <t xml:space="preserve">Водолазки</t>
        </is>
      </c>
      <c r="C95" t="inlineStr">
        <is>
          <t xml:space="preserve">Свитер, молочный</t>
        </is>
      </c>
      <c r="D95" t="inlineStr">
        <is>
          <t xml:space="preserve">SW12W16*Молочный</t>
        </is>
      </c>
      <c r="E95" t="inlineStr">
        <is>
          <t xml:space="preserve">молочный</t>
        </is>
      </c>
      <c r="F95" t="inlineStr">
        <is>
          <t xml:space="preserve">44</t>
        </is>
      </c>
      <c r="G95">
        <v>3</v>
      </c>
      <c r="H95" s="2">
        <v>22.0</v>
      </c>
      <c r="I95" t="inlineStr">
        <is>
          <t xml:space="preserve">вискоза 80%, акрил 20%</t>
        </is>
      </c>
      <c r="J95"/>
      <c r="K95" t="inlineStr">
        <is>
          <t xml:space="preserve">Бангладеш</t>
        </is>
      </c>
      <c r="L95" t="inlineStr">
        <is>
          <t xml:space="preserve">6110209900</t>
        </is>
      </c>
      <c r="M95" t="inlineStr">
        <is>
          <t xml:space="preserve">Декларация № ЕАЭС № BY/112 11.01. ТР017 122.01 08246, до 19.04.2028</t>
        </is>
      </c>
      <c r="N95" t="inlineStr">
        <is>
          <t xml:space="preserve">22 × 5 × 22</t>
        </is>
      </c>
      <c r="O95" t="inlineStr">
        <is>
          <t xml:space="preserve">0,35</t>
        </is>
      </c>
      <c r="P95" t="inlineStr">
        <is>
          <t xml:space="preserve">2004570301343</t>
        </is>
      </c>
      <c r="Q95" s="3" t="str">
        <f>HYPERLINK("https://modify.by/img/58488091/1.webp","фото")</f>
        <v>фото</v>
      </c>
      <c r="R95" s="3" t="str">
        <f>HYPERLINK("https://modify.by/catalog/vodolazki/58488091/?utm_source=price&amp;utm_medium=xlsx","открыть")</f>
        <v>открыть</v>
      </c>
    </row>
    <row r="96">
      <c r="A96" t="inlineStr">
        <is>
          <t xml:space="preserve">Женский</t>
        </is>
      </c>
      <c r="B96" t="inlineStr">
        <is>
          <t xml:space="preserve">Водолазки</t>
        </is>
      </c>
      <c r="C96" t="inlineStr">
        <is>
          <t xml:space="preserve">Свитер, молочный</t>
        </is>
      </c>
      <c r="D96" t="inlineStr">
        <is>
          <t xml:space="preserve">SW12W16*Молочный</t>
        </is>
      </c>
      <c r="E96" t="inlineStr">
        <is>
          <t xml:space="preserve">молочный</t>
        </is>
      </c>
      <c r="F96" t="inlineStr">
        <is>
          <t xml:space="preserve">44</t>
        </is>
      </c>
      <c r="G96">
        <v>3</v>
      </c>
      <c r="H96" s="2">
        <v>22.0</v>
      </c>
      <c r="I96" t="inlineStr">
        <is>
          <t xml:space="preserve">вискоза 80%, акрил 20%</t>
        </is>
      </c>
      <c r="J96"/>
      <c r="K96" t="inlineStr">
        <is>
          <t xml:space="preserve">Бангладеш</t>
        </is>
      </c>
      <c r="L96" t="inlineStr">
        <is>
          <t xml:space="preserve">6110209900</t>
        </is>
      </c>
      <c r="M96" t="inlineStr">
        <is>
          <t xml:space="preserve">Декларация № ЕАЭС № BY/112 11.01. ТР017 122.01 08246, до 19.04.2028</t>
        </is>
      </c>
      <c r="N96" t="inlineStr">
        <is>
          <t xml:space="preserve">22 × 5 × 22</t>
        </is>
      </c>
      <c r="O96" t="inlineStr">
        <is>
          <t xml:space="preserve">0,35</t>
        </is>
      </c>
      <c r="P96" t="inlineStr">
        <is>
          <t xml:space="preserve">4816148178725</t>
        </is>
      </c>
      <c r="Q96" s="3" t="str">
        <f>HYPERLINK("https://modify.by/img/58488091/1.webp","фото")</f>
        <v>фото</v>
      </c>
      <c r="R96" s="3" t="str">
        <f>HYPERLINK("https://modify.by/catalog/vodolazki/58488091/?utm_source=price&amp;utm_medium=xlsx","открыть")</f>
        <v>открыть</v>
      </c>
    </row>
    <row r="97">
      <c r="A97" t="inlineStr">
        <is>
          <t xml:space="preserve">Женский</t>
        </is>
      </c>
      <c r="B97" t="inlineStr">
        <is>
          <t xml:space="preserve">Водолазки</t>
        </is>
      </c>
      <c r="C97" t="inlineStr">
        <is>
          <t xml:space="preserve">Свитер, черный</t>
        </is>
      </c>
      <c r="D97" t="inlineStr">
        <is>
          <t xml:space="preserve">SW12W16*Черный</t>
        </is>
      </c>
      <c r="E97" t="inlineStr">
        <is>
          <t xml:space="preserve">черный</t>
        </is>
      </c>
      <c r="F97" t="inlineStr">
        <is>
          <t xml:space="preserve">50</t>
        </is>
      </c>
      <c r="G97">
        <v>1</v>
      </c>
      <c r="H97" s="2">
        <v>22.0</v>
      </c>
      <c r="I97" t="inlineStr">
        <is>
          <t xml:space="preserve">вискоза 80%, акрил 20%</t>
        </is>
      </c>
      <c r="J97"/>
      <c r="K97" t="inlineStr">
        <is>
          <t xml:space="preserve">Бангладеш</t>
        </is>
      </c>
      <c r="L97" t="inlineStr">
        <is>
          <t xml:space="preserve">6110209900</t>
        </is>
      </c>
      <c r="M97" t="inlineStr">
        <is>
          <t xml:space="preserve">Декларация № ЕАЭС № BY/112 11.01. ТР017 122.01 08246, до 19.04.2028</t>
        </is>
      </c>
      <c r="N97" t="inlineStr">
        <is>
          <t xml:space="preserve">22 × 5 × 22</t>
        </is>
      </c>
      <c r="O97" t="inlineStr">
        <is>
          <t xml:space="preserve">0,35</t>
        </is>
      </c>
      <c r="P97" t="inlineStr">
        <is>
          <t xml:space="preserve">2004570301411</t>
        </is>
      </c>
      <c r="Q97" s="3" t="str">
        <f>HYPERLINK("https://modify.by/img/58488094/1.webp","фото")</f>
        <v>фото</v>
      </c>
      <c r="R97" s="3" t="str">
        <f>HYPERLINK("https://modify.by/catalog/vodolazki/58488094/?utm_source=price&amp;utm_medium=xlsx","открыть")</f>
        <v>открыть</v>
      </c>
    </row>
    <row r="98">
      <c r="A98" t="inlineStr">
        <is>
          <t xml:space="preserve">Женский</t>
        </is>
      </c>
      <c r="B98" t="inlineStr">
        <is>
          <t xml:space="preserve">Водолазки</t>
        </is>
      </c>
      <c r="C98" t="inlineStr">
        <is>
          <t xml:space="preserve">Свитер, черный</t>
        </is>
      </c>
      <c r="D98" t="inlineStr">
        <is>
          <t xml:space="preserve">SW12W16*Черный</t>
        </is>
      </c>
      <c r="E98" t="inlineStr">
        <is>
          <t xml:space="preserve">черный</t>
        </is>
      </c>
      <c r="F98" t="inlineStr">
        <is>
          <t xml:space="preserve">50</t>
        </is>
      </c>
      <c r="G98">
        <v>1</v>
      </c>
      <c r="H98" s="2">
        <v>22.0</v>
      </c>
      <c r="I98" t="inlineStr">
        <is>
          <t xml:space="preserve">вискоза 80%, акрил 20%</t>
        </is>
      </c>
      <c r="J98"/>
      <c r="K98" t="inlineStr">
        <is>
          <t xml:space="preserve">Бангладеш</t>
        </is>
      </c>
      <c r="L98" t="inlineStr">
        <is>
          <t xml:space="preserve">6110209900</t>
        </is>
      </c>
      <c r="M98" t="inlineStr">
        <is>
          <t xml:space="preserve">Декларация № ЕАЭС № BY/112 11.01. ТР017 122.01 08246, до 19.04.2028</t>
        </is>
      </c>
      <c r="N98" t="inlineStr">
        <is>
          <t xml:space="preserve">22 × 5 × 22</t>
        </is>
      </c>
      <c r="O98" t="inlineStr">
        <is>
          <t xml:space="preserve">0,35</t>
        </is>
      </c>
      <c r="P98" t="inlineStr">
        <is>
          <t xml:space="preserve">4816148178732</t>
        </is>
      </c>
      <c r="Q98" s="3" t="str">
        <f>HYPERLINK("https://modify.by/img/58488094/1.webp","фото")</f>
        <v>фото</v>
      </c>
      <c r="R98" s="3" t="str">
        <f>HYPERLINK("https://modify.by/catalog/vodolazki/58488094/?utm_source=price&amp;utm_medium=xlsx","открыть")</f>
        <v>открыть</v>
      </c>
    </row>
    <row r="99">
      <c r="A99" t="inlineStr">
        <is>
          <t xml:space="preserve">Женский</t>
        </is>
      </c>
      <c r="B99" t="inlineStr">
        <is>
          <t xml:space="preserve">Джемперы</t>
        </is>
      </c>
      <c r="C99" t="inlineStr">
        <is>
          <t xml:space="preserve">Джемпер ажурный нарядный хлопок</t>
        </is>
      </c>
      <c r="D99" t="inlineStr">
        <is>
          <t xml:space="preserve">SW12W22Голубой</t>
        </is>
      </c>
      <c r="E99" t="inlineStr">
        <is>
          <t xml:space="preserve">голубой</t>
        </is>
      </c>
      <c r="F99" t="inlineStr">
        <is>
          <t xml:space="preserve">58</t>
        </is>
      </c>
      <c r="G99">
        <v>1</v>
      </c>
      <c r="H99" s="2">
        <v>27.0</v>
      </c>
      <c r="I99" t="inlineStr">
        <is>
          <t xml:space="preserve">50% хлопок 50% акрил</t>
        </is>
      </c>
      <c r="J99" t="inlineStr">
        <is>
          <t xml:space="preserve">демисезон</t>
        </is>
      </c>
      <c r="K99" t="inlineStr">
        <is>
          <t xml:space="preserve">Бангладеш</t>
        </is>
      </c>
      <c r="L99" t="inlineStr">
        <is>
          <t xml:space="preserve">6110209900</t>
        </is>
      </c>
      <c r="M99" t="inlineStr">
        <is>
          <t xml:space="preserve">Декларация № ЕАЭС № BY/112 11.01. ТР017 122.01 08246, до 19.04.2028</t>
        </is>
      </c>
      <c r="N99" t="inlineStr">
        <is>
          <t xml:space="preserve">2 × 30 × 35</t>
        </is>
      </c>
      <c r="O99" t="inlineStr">
        <is>
          <t xml:space="preserve">0,4</t>
        </is>
      </c>
      <c r="P99" t="inlineStr">
        <is>
          <t xml:space="preserve">2004570296410</t>
        </is>
      </c>
      <c r="Q99" s="3" t="str">
        <f>HYPERLINK("https://modify.by/img/99671679/1.webp","фото")</f>
        <v>фото</v>
      </c>
      <c r="R99" s="3" t="str">
        <f>HYPERLINK("https://modify.by/catalog/dzhempery/99671679/?utm_source=price&amp;utm_medium=xlsx","открыть")</f>
        <v>открыть</v>
      </c>
    </row>
    <row r="100">
      <c r="A100" t="inlineStr">
        <is>
          <t xml:space="preserve">Женский</t>
        </is>
      </c>
      <c r="B100" t="inlineStr">
        <is>
          <t xml:space="preserve">Джемперы</t>
        </is>
      </c>
      <c r="C100" t="inlineStr">
        <is>
          <t xml:space="preserve">Джемпер ажурный нарядный хлопок</t>
        </is>
      </c>
      <c r="D100" t="inlineStr">
        <is>
          <t xml:space="preserve">SW12W22Голубой</t>
        </is>
      </c>
      <c r="E100" t="inlineStr">
        <is>
          <t xml:space="preserve">голубой</t>
        </is>
      </c>
      <c r="F100" t="inlineStr">
        <is>
          <t xml:space="preserve">58</t>
        </is>
      </c>
      <c r="G100">
        <v>1</v>
      </c>
      <c r="H100" s="2">
        <v>27.0</v>
      </c>
      <c r="I100" t="inlineStr">
        <is>
          <t xml:space="preserve">50% хлопок 50% акрил</t>
        </is>
      </c>
      <c r="J100" t="inlineStr">
        <is>
          <t xml:space="preserve">демисезон</t>
        </is>
      </c>
      <c r="K100" t="inlineStr">
        <is>
          <t xml:space="preserve">Бангладеш</t>
        </is>
      </c>
      <c r="L100" t="inlineStr">
        <is>
          <t xml:space="preserve">6110209900</t>
        </is>
      </c>
      <c r="M100" t="inlineStr">
        <is>
          <t xml:space="preserve">Декларация № ЕАЭС № BY/112 11.01. ТР017 122.01 08246, до 19.04.2028</t>
        </is>
      </c>
      <c r="N100" t="inlineStr">
        <is>
          <t xml:space="preserve">2 × 30 × 35</t>
        </is>
      </c>
      <c r="O100" t="inlineStr">
        <is>
          <t xml:space="preserve">0,4</t>
        </is>
      </c>
      <c r="P100" t="inlineStr">
        <is>
          <t xml:space="preserve">4816148178466</t>
        </is>
      </c>
      <c r="Q100" s="3" t="str">
        <f>HYPERLINK("https://modify.by/img/99671679/1.webp","фото")</f>
        <v>фото</v>
      </c>
      <c r="R100" s="3" t="str">
        <f>HYPERLINK("https://modify.by/catalog/dzhempery/99671679/?utm_source=price&amp;utm_medium=xlsx","открыть")</f>
        <v>открыть</v>
      </c>
    </row>
    <row r="101">
      <c r="A101" t="inlineStr">
        <is>
          <t xml:space="preserve">Женский</t>
        </is>
      </c>
      <c r="B101" t="inlineStr">
        <is>
          <t xml:space="preserve">Джемперы</t>
        </is>
      </c>
      <c r="C101" t="inlineStr">
        <is>
          <t xml:space="preserve">Джемпер вязаный оверсайз легкий весенний кофта без горла</t>
        </is>
      </c>
      <c r="D101" t="inlineStr">
        <is>
          <t xml:space="preserve">SW52W04розовый</t>
        </is>
      </c>
      <c r="E101" t="inlineStr">
        <is>
          <t xml:space="preserve">розовая фуксия, розовый меланж</t>
        </is>
      </c>
      <c r="F101" t="inlineStr">
        <is>
          <t xml:space="preserve">46</t>
        </is>
      </c>
      <c r="G101">
        <v>23</v>
      </c>
      <c r="H101" s="2">
        <v>30.0</v>
      </c>
      <c r="I101" t="inlineStr">
        <is>
          <t xml:space="preserve">акрил</t>
        </is>
      </c>
      <c r="J101" t="inlineStr">
        <is>
          <t xml:space="preserve">демисезон</t>
        </is>
      </c>
      <c r="K101" t="inlineStr">
        <is>
          <t xml:space="preserve">Бангладеш</t>
        </is>
      </c>
      <c r="L101" t="inlineStr">
        <is>
          <t xml:space="preserve">6110309900</t>
        </is>
      </c>
      <c r="M101" t="inlineStr">
        <is>
          <t xml:space="preserve">Декларация № ЕАЭС № BY/112 11.01. ТР017 122.01 08246, до 19.04.2028</t>
        </is>
      </c>
      <c r="N101" t="inlineStr">
        <is>
          <t xml:space="preserve">32 × 26 × 3</t>
        </is>
      </c>
      <c r="O101" t="inlineStr">
        <is>
          <t xml:space="preserve">0,41</t>
        </is>
      </c>
      <c r="P101" t="inlineStr">
        <is>
          <t xml:space="preserve">4816148164582</t>
        </is>
      </c>
      <c r="Q101" s="3" t="str">
        <f>HYPERLINK("https://modify.by/img/542413529/1.webp","фото")</f>
        <v>фото</v>
      </c>
      <c r="R101" s="3" t="str">
        <f>HYPERLINK("https://modify.by/catalog/dzhempery/542413529/?utm_source=price&amp;utm_medium=xlsx","открыть")</f>
        <v>открыть</v>
      </c>
    </row>
    <row r="102">
      <c r="A102" t="inlineStr">
        <is>
          <t xml:space="preserve">Женский</t>
        </is>
      </c>
      <c r="B102" t="inlineStr">
        <is>
          <t xml:space="preserve">Джемперы</t>
        </is>
      </c>
      <c r="C102" t="inlineStr">
        <is>
          <t xml:space="preserve">Джемпер вязаный оверсайз легкий весенний кофта без горла</t>
        </is>
      </c>
      <c r="D102" t="inlineStr">
        <is>
          <t xml:space="preserve">SW52W04розовый</t>
        </is>
      </c>
      <c r="E102" t="inlineStr">
        <is>
          <t xml:space="preserve">розовая фуксия, розовый меланж</t>
        </is>
      </c>
      <c r="F102" t="inlineStr">
        <is>
          <t xml:space="preserve">48</t>
        </is>
      </c>
      <c r="G102">
        <v>34</v>
      </c>
      <c r="H102" s="2">
        <v>30.0</v>
      </c>
      <c r="I102" t="inlineStr">
        <is>
          <t xml:space="preserve">акрил</t>
        </is>
      </c>
      <c r="J102" t="inlineStr">
        <is>
          <t xml:space="preserve">демисезон</t>
        </is>
      </c>
      <c r="K102" t="inlineStr">
        <is>
          <t xml:space="preserve">Бангладеш</t>
        </is>
      </c>
      <c r="L102" t="inlineStr">
        <is>
          <t xml:space="preserve">6110309900</t>
        </is>
      </c>
      <c r="M102" t="inlineStr">
        <is>
          <t xml:space="preserve">Декларация № ЕАЭС № BY/112 11.01. ТР017 122.01 08246, до 19.04.2028</t>
        </is>
      </c>
      <c r="N102" t="inlineStr">
        <is>
          <t xml:space="preserve">32 × 26 × 3</t>
        </is>
      </c>
      <c r="O102" t="inlineStr">
        <is>
          <t xml:space="preserve">0,41</t>
        </is>
      </c>
      <c r="P102" t="inlineStr">
        <is>
          <t xml:space="preserve">4816148164599</t>
        </is>
      </c>
      <c r="Q102" s="3" t="str">
        <f>HYPERLINK("https://modify.by/img/542413529/1.webp","фото")</f>
        <v>фото</v>
      </c>
      <c r="R102" s="3" t="str">
        <f>HYPERLINK("https://modify.by/catalog/dzhempery/542413529/?utm_source=price&amp;utm_medium=xlsx","открыть")</f>
        <v>открыть</v>
      </c>
    </row>
    <row r="103">
      <c r="A103" t="inlineStr">
        <is>
          <t xml:space="preserve">Женский</t>
        </is>
      </c>
      <c r="B103" t="inlineStr">
        <is>
          <t xml:space="preserve">Джемперы</t>
        </is>
      </c>
      <c r="C103" t="inlineStr">
        <is>
          <t xml:space="preserve">Джемпер вязаный оверсайз легкий весенний кофта без горла</t>
        </is>
      </c>
      <c r="D103" t="inlineStr">
        <is>
          <t xml:space="preserve">SW52W04розовый</t>
        </is>
      </c>
      <c r="E103" t="inlineStr">
        <is>
          <t xml:space="preserve">розовая фуксия, розовый меланж</t>
        </is>
      </c>
      <c r="F103" t="inlineStr">
        <is>
          <t xml:space="preserve">50</t>
        </is>
      </c>
      <c r="G103">
        <v>30</v>
      </c>
      <c r="H103" s="2">
        <v>30.0</v>
      </c>
      <c r="I103" t="inlineStr">
        <is>
          <t xml:space="preserve">акрил</t>
        </is>
      </c>
      <c r="J103" t="inlineStr">
        <is>
          <t xml:space="preserve">демисезон</t>
        </is>
      </c>
      <c r="K103" t="inlineStr">
        <is>
          <t xml:space="preserve">Бангладеш</t>
        </is>
      </c>
      <c r="L103" t="inlineStr">
        <is>
          <t xml:space="preserve">6110309900</t>
        </is>
      </c>
      <c r="M103" t="inlineStr">
        <is>
          <t xml:space="preserve">Декларация № ЕАЭС № BY/112 11.01. ТР017 122.01 08246, до 19.04.2028</t>
        </is>
      </c>
      <c r="N103" t="inlineStr">
        <is>
          <t xml:space="preserve">32 × 26 × 3</t>
        </is>
      </c>
      <c r="O103" t="inlineStr">
        <is>
          <t xml:space="preserve">0,41</t>
        </is>
      </c>
      <c r="P103" t="inlineStr">
        <is>
          <t xml:space="preserve">4816148164605</t>
        </is>
      </c>
      <c r="Q103" s="3" t="str">
        <f>HYPERLINK("https://modify.by/img/542413529/1.webp","фото")</f>
        <v>фото</v>
      </c>
      <c r="R103" s="3" t="str">
        <f>HYPERLINK("https://modify.by/catalog/dzhempery/542413529/?utm_source=price&amp;utm_medium=xlsx","открыть")</f>
        <v>открыть</v>
      </c>
    </row>
    <row r="104">
      <c r="A104" t="inlineStr">
        <is>
          <t xml:space="preserve">Женский</t>
        </is>
      </c>
      <c r="B104" t="inlineStr">
        <is>
          <t xml:space="preserve">Джемперы</t>
        </is>
      </c>
      <c r="C104" t="inlineStr">
        <is>
          <t xml:space="preserve">Джемпер легкий</t>
        </is>
      </c>
      <c r="D104" t="inlineStr">
        <is>
          <t xml:space="preserve">SW12W24Черный</t>
        </is>
      </c>
      <c r="E104" t="inlineStr">
        <is>
          <t xml:space="preserve">черный</t>
        </is>
      </c>
      <c r="F104" t="inlineStr">
        <is>
          <t xml:space="preserve">50</t>
        </is>
      </c>
      <c r="G104">
        <v>1</v>
      </c>
      <c r="H104" s="2">
        <v>21.0</v>
      </c>
      <c r="I104" t="inlineStr">
        <is>
          <t xml:space="preserve">полиамид 29%, вискоза 71%</t>
        </is>
      </c>
      <c r="J104" t="inlineStr">
        <is>
          <t xml:space="preserve">круглогодичный</t>
        </is>
      </c>
      <c r="K104" t="inlineStr">
        <is>
          <t xml:space="preserve">Бангладеш</t>
        </is>
      </c>
      <c r="L104" t="inlineStr">
        <is>
          <t xml:space="preserve">6106200000</t>
        </is>
      </c>
      <c r="M104" t="inlineStr">
        <is>
          <t xml:space="preserve">по запросу</t>
        </is>
      </c>
      <c r="N104"/>
      <c r="O104"/>
      <c r="P104" t="inlineStr">
        <is>
          <t xml:space="preserve">2004570290197</t>
        </is>
      </c>
      <c r="Q104" s="3" t="str">
        <f>HYPERLINK("https://modify.by/img/57142045/1.webp","фото")</f>
        <v>фото</v>
      </c>
      <c r="R104" s="3" t="str">
        <f>HYPERLINK("https://modify.by/catalog/dzhempery/57142045/?utm_source=price&amp;utm_medium=xlsx","открыть")</f>
        <v>открыть</v>
      </c>
    </row>
    <row r="105">
      <c r="A105" t="inlineStr">
        <is>
          <t xml:space="preserve">Женский</t>
        </is>
      </c>
      <c r="B105" t="inlineStr">
        <is>
          <t xml:space="preserve">Джемперы</t>
        </is>
      </c>
      <c r="C105" t="inlineStr">
        <is>
          <t xml:space="preserve">Джемпер с коротким рукавом вязаная футболка летний топ ажур, зернистый светло-бежевый</t>
        </is>
      </c>
      <c r="D105" t="inlineStr">
        <is>
          <t xml:space="preserve">JU62W01_светло-бежевый</t>
        </is>
      </c>
      <c r="E105" t="inlineStr">
        <is>
          <t xml:space="preserve">зернистый светло-бежевый</t>
        </is>
      </c>
      <c r="F105" t="inlineStr">
        <is>
          <t xml:space="preserve">40</t>
        </is>
      </c>
      <c r="G105">
        <v>7</v>
      </c>
      <c r="H105" s="2">
        <v>17.0</v>
      </c>
      <c r="I105" t="inlineStr">
        <is>
          <t xml:space="preserve">акрил, нейлон</t>
        </is>
      </c>
      <c r="J105" t="inlineStr">
        <is>
          <t xml:space="preserve">демисезон</t>
        </is>
      </c>
      <c r="K105" t="inlineStr">
        <is>
          <t xml:space="preserve">Бангладеш</t>
        </is>
      </c>
      <c r="L105" t="inlineStr">
        <is>
          <t xml:space="preserve">6110309900</t>
        </is>
      </c>
      <c r="M105" t="inlineStr">
        <is>
          <t xml:space="preserve">Декларация № ЕАЭС № BY/112 11.01. ТР017 122.01 08246, до 19.04.2028</t>
        </is>
      </c>
      <c r="N105" t="inlineStr">
        <is>
          <t xml:space="preserve">20 × 26 × 2</t>
        </is>
      </c>
      <c r="O105" t="inlineStr">
        <is>
          <t xml:space="preserve">0,3</t>
        </is>
      </c>
      <c r="P105" t="inlineStr">
        <is>
          <t xml:space="preserve">4816148182968</t>
        </is>
      </c>
      <c r="Q105" s="3" t="str">
        <f>HYPERLINK("https://modify.by/img/1028840113/1.webp","фото")</f>
        <v>фото</v>
      </c>
      <c r="R105" s="3" t="str">
        <f>HYPERLINK("https://modify.by/catalog/dzhempery/1028840113/?utm_source=price&amp;utm_medium=xlsx","открыть")</f>
        <v>открыть</v>
      </c>
    </row>
    <row r="106">
      <c r="A106" t="inlineStr">
        <is>
          <t xml:space="preserve">Женский</t>
        </is>
      </c>
      <c r="B106" t="inlineStr">
        <is>
          <t xml:space="preserve">Джемперы</t>
        </is>
      </c>
      <c r="C106" t="inlineStr">
        <is>
          <t xml:space="preserve">Джемпер с коротким рукавом вязаная футболка летний топ ажур, зернистый светло-бежевый</t>
        </is>
      </c>
      <c r="D106" t="inlineStr">
        <is>
          <t xml:space="preserve">JU62W01_светло-бежевый</t>
        </is>
      </c>
      <c r="E106" t="inlineStr">
        <is>
          <t xml:space="preserve">зернистый светло-бежевый</t>
        </is>
      </c>
      <c r="F106" t="inlineStr">
        <is>
          <t xml:space="preserve">48</t>
        </is>
      </c>
      <c r="G106">
        <v>27</v>
      </c>
      <c r="H106" s="2">
        <v>17.0</v>
      </c>
      <c r="I106" t="inlineStr">
        <is>
          <t xml:space="preserve">акрил, нейлон</t>
        </is>
      </c>
      <c r="J106" t="inlineStr">
        <is>
          <t xml:space="preserve">демисезон</t>
        </is>
      </c>
      <c r="K106" t="inlineStr">
        <is>
          <t xml:space="preserve">Бангладеш</t>
        </is>
      </c>
      <c r="L106" t="inlineStr">
        <is>
          <t xml:space="preserve">6110309900</t>
        </is>
      </c>
      <c r="M106" t="inlineStr">
        <is>
          <t xml:space="preserve">Декларация № ЕАЭС № BY/112 11.01. ТР017 122.01 08246, до 19.04.2028</t>
        </is>
      </c>
      <c r="N106" t="inlineStr">
        <is>
          <t xml:space="preserve">20 × 26 × 2</t>
        </is>
      </c>
      <c r="O106" t="inlineStr">
        <is>
          <t xml:space="preserve">0,3</t>
        </is>
      </c>
      <c r="P106" t="inlineStr">
        <is>
          <t xml:space="preserve">4816148183002</t>
        </is>
      </c>
      <c r="Q106" s="3" t="str">
        <f>HYPERLINK("https://modify.by/img/1028840113/1.webp","фото")</f>
        <v>фото</v>
      </c>
      <c r="R106" s="3" t="str">
        <f>HYPERLINK("https://modify.by/catalog/dzhempery/1028840113/?utm_source=price&amp;utm_medium=xlsx","открыть")</f>
        <v>открыть</v>
      </c>
    </row>
    <row r="107">
      <c r="A107" t="inlineStr">
        <is>
          <t xml:space="preserve">Женский</t>
        </is>
      </c>
      <c r="B107" t="inlineStr">
        <is>
          <t xml:space="preserve">Джемперы</t>
        </is>
      </c>
      <c r="C107" t="inlineStr">
        <is>
          <t xml:space="preserve">Джемпер с коротким рукавом вязаная футболка летний топ ажур, темно-оливковый</t>
        </is>
      </c>
      <c r="D107" t="inlineStr">
        <is>
          <t xml:space="preserve">JU62W01_темно-оливковый</t>
        </is>
      </c>
      <c r="E107" t="inlineStr">
        <is>
          <t xml:space="preserve">темно-оливковый, хаки</t>
        </is>
      </c>
      <c r="F107" t="inlineStr">
        <is>
          <t xml:space="preserve">38</t>
        </is>
      </c>
      <c r="G107">
        <v>39</v>
      </c>
      <c r="H107" s="2">
        <v>17.0</v>
      </c>
      <c r="I107" t="inlineStr">
        <is>
          <t xml:space="preserve">акрил, нейлон</t>
        </is>
      </c>
      <c r="J107" t="inlineStr">
        <is>
          <t xml:space="preserve">демисезон</t>
        </is>
      </c>
      <c r="K107" t="inlineStr">
        <is>
          <t xml:space="preserve">Бангладеш</t>
        </is>
      </c>
      <c r="L107" t="inlineStr">
        <is>
          <t xml:space="preserve">6110309900</t>
        </is>
      </c>
      <c r="M107" t="inlineStr">
        <is>
          <t xml:space="preserve">Декларация № ЕАЭС № BY/112 11.01. ТР017 122.01 08246, до 19.04.2028</t>
        </is>
      </c>
      <c r="N107" t="inlineStr">
        <is>
          <t xml:space="preserve">20 × 26 × 2</t>
        </is>
      </c>
      <c r="O107" t="inlineStr">
        <is>
          <t xml:space="preserve">0,3</t>
        </is>
      </c>
      <c r="P107" t="inlineStr">
        <is>
          <t xml:space="preserve">4816148183019</t>
        </is>
      </c>
      <c r="Q107" s="3" t="str">
        <f>HYPERLINK("https://modify.by/img/1035634635/1.webp","фото")</f>
        <v>фото</v>
      </c>
      <c r="R107" s="3" t="str">
        <f>HYPERLINK("https://modify.by/catalog/dzhempery/1035634635/?utm_source=price&amp;utm_medium=xlsx","открыть")</f>
        <v>открыть</v>
      </c>
    </row>
    <row r="108">
      <c r="A108" t="inlineStr">
        <is>
          <t xml:space="preserve">Женский</t>
        </is>
      </c>
      <c r="B108" t="inlineStr">
        <is>
          <t xml:space="preserve">Джемперы</t>
        </is>
      </c>
      <c r="C108" t="inlineStr">
        <is>
          <t xml:space="preserve">Джемпер с коротким рукавом вязаная футболка летний топ ажур, темно-оливковый</t>
        </is>
      </c>
      <c r="D108" t="inlineStr">
        <is>
          <t xml:space="preserve">JU62W01_темно-оливковый</t>
        </is>
      </c>
      <c r="E108" t="inlineStr">
        <is>
          <t xml:space="preserve">темно-оливковый, хаки</t>
        </is>
      </c>
      <c r="F108" t="inlineStr">
        <is>
          <t xml:space="preserve">44</t>
        </is>
      </c>
      <c r="G108">
        <v>2</v>
      </c>
      <c r="H108" s="2">
        <v>17.0</v>
      </c>
      <c r="I108" t="inlineStr">
        <is>
          <t xml:space="preserve">акрил, нейлон</t>
        </is>
      </c>
      <c r="J108" t="inlineStr">
        <is>
          <t xml:space="preserve">демисезон</t>
        </is>
      </c>
      <c r="K108" t="inlineStr">
        <is>
          <t xml:space="preserve">Бангладеш</t>
        </is>
      </c>
      <c r="L108" t="inlineStr">
        <is>
          <t xml:space="preserve">6110309900</t>
        </is>
      </c>
      <c r="M108" t="inlineStr">
        <is>
          <t xml:space="preserve">Декларация № ЕАЭС № BY/112 11.01. ТР017 122.01 08246, до 19.04.2028</t>
        </is>
      </c>
      <c r="N108" t="inlineStr">
        <is>
          <t xml:space="preserve">20 × 26 × 2</t>
        </is>
      </c>
      <c r="O108" t="inlineStr">
        <is>
          <t xml:space="preserve">0,3</t>
        </is>
      </c>
      <c r="P108" t="inlineStr">
        <is>
          <t xml:space="preserve">4816148183040</t>
        </is>
      </c>
      <c r="Q108" s="3" t="str">
        <f>HYPERLINK("https://modify.by/img/1035634635/1.webp","фото")</f>
        <v>фото</v>
      </c>
      <c r="R108" s="3" t="str">
        <f>HYPERLINK("https://modify.by/catalog/dzhempery/1035634635/?utm_source=price&amp;utm_medium=xlsx","открыть")</f>
        <v>открыть</v>
      </c>
    </row>
    <row r="109">
      <c r="A109" t="inlineStr">
        <is>
          <t xml:space="preserve">Женский</t>
        </is>
      </c>
      <c r="B109" t="inlineStr">
        <is>
          <t xml:space="preserve">Джемперы</t>
        </is>
      </c>
      <c r="C109" t="inlineStr">
        <is>
          <t xml:space="preserve">Свитер ажурной вязки оверсайз</t>
        </is>
      </c>
      <c r="D109" t="inlineStr">
        <is>
          <t xml:space="preserve">SW52W01светло-зеленый</t>
        </is>
      </c>
      <c r="E109" t="inlineStr">
        <is>
          <t xml:space="preserve">светло-зеленый, пастельно-мятный</t>
        </is>
      </c>
      <c r="F109" t="inlineStr">
        <is>
          <t xml:space="preserve">46</t>
        </is>
      </c>
      <c r="G109">
        <v>59</v>
      </c>
      <c r="H109" s="2">
        <v>39.0</v>
      </c>
      <c r="I109" t="inlineStr">
        <is>
          <t xml:space="preserve">полиэфирный шелк</t>
        </is>
      </c>
      <c r="J109"/>
      <c r="K109" t="inlineStr">
        <is>
          <t xml:space="preserve">Бангладеш</t>
        </is>
      </c>
      <c r="L109" t="inlineStr">
        <is>
          <t xml:space="preserve">6110309900</t>
        </is>
      </c>
      <c r="M109" t="inlineStr">
        <is>
          <t xml:space="preserve">Декларация № ЕАЭС № BY/112 11.01. ТР017 122.01 08246, до 19.04.2028</t>
        </is>
      </c>
      <c r="N109" t="inlineStr">
        <is>
          <t xml:space="preserve">35 × 30 × 5</t>
        </is>
      </c>
      <c r="O109" t="inlineStr">
        <is>
          <t xml:space="preserve">0,54</t>
        </is>
      </c>
      <c r="P109" t="inlineStr">
        <is>
          <t xml:space="preserve">4816148170989</t>
        </is>
      </c>
      <c r="Q109" s="3" t="str">
        <f>HYPERLINK("https://modify.by/img/591428327/1.webp","фото")</f>
        <v>фото</v>
      </c>
      <c r="R109" s="3" t="str">
        <f>HYPERLINK("https://modify.by/catalog/dzhempery/591428327/?utm_source=price&amp;utm_medium=xlsx","открыть")</f>
        <v>открыть</v>
      </c>
    </row>
    <row r="110">
      <c r="A110" t="inlineStr">
        <is>
          <t xml:space="preserve">Женский</t>
        </is>
      </c>
      <c r="B110" t="inlineStr">
        <is>
          <t xml:space="preserve">Джемперы</t>
        </is>
      </c>
      <c r="C110" t="inlineStr">
        <is>
          <t xml:space="preserve">Свитер ажурной вязки оверсайз</t>
        </is>
      </c>
      <c r="D110" t="inlineStr">
        <is>
          <t xml:space="preserve">SW52W01светло-зеленый</t>
        </is>
      </c>
      <c r="E110" t="inlineStr">
        <is>
          <t xml:space="preserve">светло-зеленый, пастельно-мятный</t>
        </is>
      </c>
      <c r="F110" t="inlineStr">
        <is>
          <t xml:space="preserve">48</t>
        </is>
      </c>
      <c r="G110">
        <v>78</v>
      </c>
      <c r="H110" s="2">
        <v>39.0</v>
      </c>
      <c r="I110" t="inlineStr">
        <is>
          <t xml:space="preserve">полиэфирный шелк</t>
        </is>
      </c>
      <c r="J110"/>
      <c r="K110" t="inlineStr">
        <is>
          <t xml:space="preserve">Бангладеш</t>
        </is>
      </c>
      <c r="L110" t="inlineStr">
        <is>
          <t xml:space="preserve">6110309900</t>
        </is>
      </c>
      <c r="M110" t="inlineStr">
        <is>
          <t xml:space="preserve">Декларация № ЕАЭС № BY/112 11.01. ТР017 122.01 08246, до 19.04.2028</t>
        </is>
      </c>
      <c r="N110" t="inlineStr">
        <is>
          <t xml:space="preserve">35 × 30 × 5</t>
        </is>
      </c>
      <c r="O110" t="inlineStr">
        <is>
          <t xml:space="preserve">0,54</t>
        </is>
      </c>
      <c r="P110" t="inlineStr">
        <is>
          <t xml:space="preserve">4816148170996</t>
        </is>
      </c>
      <c r="Q110" s="3" t="str">
        <f>HYPERLINK("https://modify.by/img/591428327/1.webp","фото")</f>
        <v>фото</v>
      </c>
      <c r="R110" s="3" t="str">
        <f>HYPERLINK("https://modify.by/catalog/dzhempery/591428327/?utm_source=price&amp;utm_medium=xlsx","открыть")</f>
        <v>открыть</v>
      </c>
    </row>
    <row r="111">
      <c r="A111" t="inlineStr">
        <is>
          <t xml:space="preserve">Женский</t>
        </is>
      </c>
      <c r="B111" t="inlineStr">
        <is>
          <t xml:space="preserve">Джемперы</t>
        </is>
      </c>
      <c r="C111" t="inlineStr">
        <is>
          <t xml:space="preserve">Свитер ажурной вязки оверсайз</t>
        </is>
      </c>
      <c r="D111" t="inlineStr">
        <is>
          <t xml:space="preserve">SW52W01светло-зеленый</t>
        </is>
      </c>
      <c r="E111" t="inlineStr">
        <is>
          <t xml:space="preserve">светло-зеленый, пастельно-мятный</t>
        </is>
      </c>
      <c r="F111" t="inlineStr">
        <is>
          <t xml:space="preserve">50</t>
        </is>
      </c>
      <c r="G111">
        <v>29</v>
      </c>
      <c r="H111" s="2">
        <v>39.0</v>
      </c>
      <c r="I111" t="inlineStr">
        <is>
          <t xml:space="preserve">полиэфирный шелк</t>
        </is>
      </c>
      <c r="J111"/>
      <c r="K111" t="inlineStr">
        <is>
          <t xml:space="preserve">Бангладеш</t>
        </is>
      </c>
      <c r="L111" t="inlineStr">
        <is>
          <t xml:space="preserve">6110309900</t>
        </is>
      </c>
      <c r="M111" t="inlineStr">
        <is>
          <t xml:space="preserve">Декларация № ЕАЭС № BY/112 11.01. ТР017 122.01 08246, до 19.04.2028</t>
        </is>
      </c>
      <c r="N111" t="inlineStr">
        <is>
          <t xml:space="preserve">35 × 30 × 5</t>
        </is>
      </c>
      <c r="O111" t="inlineStr">
        <is>
          <t xml:space="preserve">0,54</t>
        </is>
      </c>
      <c r="P111" t="inlineStr">
        <is>
          <t xml:space="preserve">4816148171009</t>
        </is>
      </c>
      <c r="Q111" s="3" t="str">
        <f>HYPERLINK("https://modify.by/img/591428327/1.webp","фото")</f>
        <v>фото</v>
      </c>
      <c r="R111" s="3" t="str">
        <f>HYPERLINK("https://modify.by/catalog/dzhempery/591428327/?utm_source=price&amp;utm_medium=xlsx","открыть")</f>
        <v>открыть</v>
      </c>
    </row>
    <row r="112">
      <c r="A112" t="inlineStr">
        <is>
          <t xml:space="preserve">Женский</t>
        </is>
      </c>
      <c r="B112" t="inlineStr">
        <is>
          <t xml:space="preserve">Джемперы</t>
        </is>
      </c>
      <c r="C112" t="inlineStr">
        <is>
          <t xml:space="preserve">Свитер ажурной вязки оверсайз</t>
        </is>
      </c>
      <c r="D112" t="inlineStr">
        <is>
          <t xml:space="preserve">SW52W01светло-зеленый</t>
        </is>
      </c>
      <c r="E112" t="inlineStr">
        <is>
          <t xml:space="preserve">светло-зеленый, пастельно-мятный</t>
        </is>
      </c>
      <c r="F112" t="inlineStr">
        <is>
          <t xml:space="preserve">52</t>
        </is>
      </c>
      <c r="G112">
        <v>3</v>
      </c>
      <c r="H112" s="2">
        <v>39.0</v>
      </c>
      <c r="I112" t="inlineStr">
        <is>
          <t xml:space="preserve">полиэфирный шелк</t>
        </is>
      </c>
      <c r="J112"/>
      <c r="K112" t="inlineStr">
        <is>
          <t xml:space="preserve">Бангладеш</t>
        </is>
      </c>
      <c r="L112" t="inlineStr">
        <is>
          <t xml:space="preserve">6110309900</t>
        </is>
      </c>
      <c r="M112" t="inlineStr">
        <is>
          <t xml:space="preserve">Декларация № ЕАЭС № BY/112 11.01. ТР017 122.01 08246, до 19.04.2028</t>
        </is>
      </c>
      <c r="N112" t="inlineStr">
        <is>
          <t xml:space="preserve">35 × 30 × 5</t>
        </is>
      </c>
      <c r="O112" t="inlineStr">
        <is>
          <t xml:space="preserve">0,54</t>
        </is>
      </c>
      <c r="P112" t="inlineStr">
        <is>
          <t xml:space="preserve">4816148171016</t>
        </is>
      </c>
      <c r="Q112" s="3" t="str">
        <f>HYPERLINK("https://modify.by/img/591428327/1.webp","фото")</f>
        <v>фото</v>
      </c>
      <c r="R112" s="3" t="str">
        <f>HYPERLINK("https://modify.by/catalog/dzhempery/591428327/?utm_source=price&amp;utm_medium=xlsx","открыть")</f>
        <v>открыть</v>
      </c>
    </row>
    <row r="113">
      <c r="A113" t="inlineStr">
        <is>
          <t xml:space="preserve">Женский</t>
        </is>
      </c>
      <c r="B113" t="inlineStr">
        <is>
          <t xml:space="preserve">Джемперы</t>
        </is>
      </c>
      <c r="C113" t="inlineStr">
        <is>
          <t xml:space="preserve">Свитер-водолазка красный теплый</t>
        </is>
      </c>
      <c r="D113" t="inlineStr">
        <is>
          <t xml:space="preserve">SW52W03красный,серый</t>
        </is>
      </c>
      <c r="E113" t="inlineStr">
        <is>
          <t xml:space="preserve">красный, серый меланж</t>
        </is>
      </c>
      <c r="F113" t="inlineStr">
        <is>
          <t xml:space="preserve">44</t>
        </is>
      </c>
      <c r="G113">
        <v>44</v>
      </c>
      <c r="H113" s="2">
        <v>28.0</v>
      </c>
      <c r="I113" t="inlineStr">
        <is>
          <t xml:space="preserve">73% акрил 25% полиэстер 2% эластан</t>
        </is>
      </c>
      <c r="J113"/>
      <c r="K113" t="inlineStr">
        <is>
          <t xml:space="preserve">Бангладеш</t>
        </is>
      </c>
      <c r="L113" t="inlineStr">
        <is>
          <t xml:space="preserve">6110209900</t>
        </is>
      </c>
      <c r="M113" t="inlineStr">
        <is>
          <t xml:space="preserve">Декларация № ЕАЭС № BY/112 11.01. ТР017 122.01 08246, до 19.04.2028</t>
        </is>
      </c>
      <c r="N113" t="inlineStr">
        <is>
          <t xml:space="preserve">35 × 30 × 2</t>
        </is>
      </c>
      <c r="O113" t="inlineStr">
        <is>
          <t xml:space="preserve">0,37</t>
        </is>
      </c>
      <c r="P113" t="inlineStr">
        <is>
          <t xml:space="preserve">4816148165381</t>
        </is>
      </c>
      <c r="Q113" s="3" t="str">
        <f>HYPERLINK("https://modify.by/img/527988035/1.webp","фото")</f>
        <v>фото</v>
      </c>
      <c r="R113" s="3" t="str">
        <f>HYPERLINK("https://modify.by/catalog/dzhempery/527988035/?utm_source=price&amp;utm_medium=xlsx","открыть")</f>
        <v>открыть</v>
      </c>
    </row>
    <row r="114">
      <c r="A114" t="inlineStr">
        <is>
          <t xml:space="preserve">Женский</t>
        </is>
      </c>
      <c r="B114" t="inlineStr">
        <is>
          <t xml:space="preserve">Джемперы</t>
        </is>
      </c>
      <c r="C114" t="inlineStr">
        <is>
          <t xml:space="preserve">Свитер-водолазка красный теплый</t>
        </is>
      </c>
      <c r="D114" t="inlineStr">
        <is>
          <t xml:space="preserve">SW52W03красный,серый</t>
        </is>
      </c>
      <c r="E114" t="inlineStr">
        <is>
          <t xml:space="preserve">красный, серый меланж</t>
        </is>
      </c>
      <c r="F114" t="inlineStr">
        <is>
          <t xml:space="preserve">46</t>
        </is>
      </c>
      <c r="G114">
        <v>65</v>
      </c>
      <c r="H114" s="2">
        <v>28.0</v>
      </c>
      <c r="I114" t="inlineStr">
        <is>
          <t xml:space="preserve">73% акрил 25% полиэстер 2% эластан</t>
        </is>
      </c>
      <c r="J114"/>
      <c r="K114" t="inlineStr">
        <is>
          <t xml:space="preserve">Бангладеш</t>
        </is>
      </c>
      <c r="L114" t="inlineStr">
        <is>
          <t xml:space="preserve">6110209900</t>
        </is>
      </c>
      <c r="M114" t="inlineStr">
        <is>
          <t xml:space="preserve">Декларация № ЕАЭС № BY/112 11.01. ТР017 122.01 08246, до 19.04.2028</t>
        </is>
      </c>
      <c r="N114" t="inlineStr">
        <is>
          <t xml:space="preserve">35 × 30 × 2</t>
        </is>
      </c>
      <c r="O114" t="inlineStr">
        <is>
          <t xml:space="preserve">0,37</t>
        </is>
      </c>
      <c r="P114" t="inlineStr">
        <is>
          <t xml:space="preserve">4816148165398</t>
        </is>
      </c>
      <c r="Q114" s="3" t="str">
        <f>HYPERLINK("https://modify.by/img/527988035/1.webp","фото")</f>
        <v>фото</v>
      </c>
      <c r="R114" s="3" t="str">
        <f>HYPERLINK("https://modify.by/catalog/dzhempery/527988035/?utm_source=price&amp;utm_medium=xlsx","открыть")</f>
        <v>открыть</v>
      </c>
    </row>
    <row r="115">
      <c r="A115" t="inlineStr">
        <is>
          <t xml:space="preserve">Женский</t>
        </is>
      </c>
      <c r="B115" t="inlineStr">
        <is>
          <t xml:space="preserve">Джемперы</t>
        </is>
      </c>
      <c r="C115" t="inlineStr">
        <is>
          <t xml:space="preserve">Свитер-водолазка красный теплый</t>
        </is>
      </c>
      <c r="D115" t="inlineStr">
        <is>
          <t xml:space="preserve">SW52W03красный,серый</t>
        </is>
      </c>
      <c r="E115" t="inlineStr">
        <is>
          <t xml:space="preserve">красный, серый меланж</t>
        </is>
      </c>
      <c r="F115" t="inlineStr">
        <is>
          <t xml:space="preserve">48</t>
        </is>
      </c>
      <c r="G115">
        <v>46</v>
      </c>
      <c r="H115" s="2">
        <v>28.0</v>
      </c>
      <c r="I115" t="inlineStr">
        <is>
          <t xml:space="preserve">73% акрил 25% полиэстер 2% эластан</t>
        </is>
      </c>
      <c r="J115"/>
      <c r="K115" t="inlineStr">
        <is>
          <t xml:space="preserve">Бангладеш</t>
        </is>
      </c>
      <c r="L115" t="inlineStr">
        <is>
          <t xml:space="preserve">6110209900</t>
        </is>
      </c>
      <c r="M115" t="inlineStr">
        <is>
          <t xml:space="preserve">Декларация № ЕАЭС № BY/112 11.01. ТР017 122.01 08246, до 19.04.2028</t>
        </is>
      </c>
      <c r="N115" t="inlineStr">
        <is>
          <t xml:space="preserve">35 × 30 × 2</t>
        </is>
      </c>
      <c r="O115" t="inlineStr">
        <is>
          <t xml:space="preserve">0,37</t>
        </is>
      </c>
      <c r="P115" t="inlineStr">
        <is>
          <t xml:space="preserve">4816148165404</t>
        </is>
      </c>
      <c r="Q115" s="3" t="str">
        <f>HYPERLINK("https://modify.by/img/527988035/1.webp","фото")</f>
        <v>фото</v>
      </c>
      <c r="R115" s="3" t="str">
        <f>HYPERLINK("https://modify.by/catalog/dzhempery/527988035/?utm_source=price&amp;utm_medium=xlsx","открыть")</f>
        <v>открыть</v>
      </c>
    </row>
    <row r="116">
      <c r="A116" t="inlineStr">
        <is>
          <t xml:space="preserve">Женский</t>
        </is>
      </c>
      <c r="B116" t="inlineStr">
        <is>
          <t xml:space="preserve">Джемперы</t>
        </is>
      </c>
      <c r="C116" t="inlineStr">
        <is>
          <t xml:space="preserve">Свитер-водолазка красный теплый</t>
        </is>
      </c>
      <c r="D116" t="inlineStr">
        <is>
          <t xml:space="preserve">SW52W03красный,серый</t>
        </is>
      </c>
      <c r="E116" t="inlineStr">
        <is>
          <t xml:space="preserve">красный, серый меланж</t>
        </is>
      </c>
      <c r="F116" t="inlineStr">
        <is>
          <t xml:space="preserve">50</t>
        </is>
      </c>
      <c r="G116">
        <v>36</v>
      </c>
      <c r="H116" s="2">
        <v>28.0</v>
      </c>
      <c r="I116" t="inlineStr">
        <is>
          <t xml:space="preserve">73% акрил 25% полиэстер 2% эластан</t>
        </is>
      </c>
      <c r="J116"/>
      <c r="K116" t="inlineStr">
        <is>
          <t xml:space="preserve">Бангладеш</t>
        </is>
      </c>
      <c r="L116" t="inlineStr">
        <is>
          <t xml:space="preserve">6110209900</t>
        </is>
      </c>
      <c r="M116" t="inlineStr">
        <is>
          <t xml:space="preserve">Декларация № ЕАЭС № BY/112 11.01. ТР017 122.01 08246, до 19.04.2028</t>
        </is>
      </c>
      <c r="N116" t="inlineStr">
        <is>
          <t xml:space="preserve">35 × 30 × 2</t>
        </is>
      </c>
      <c r="O116" t="inlineStr">
        <is>
          <t xml:space="preserve">0,37</t>
        </is>
      </c>
      <c r="P116" t="inlineStr">
        <is>
          <t xml:space="preserve">4816148165411</t>
        </is>
      </c>
      <c r="Q116" s="3" t="str">
        <f>HYPERLINK("https://modify.by/img/527988035/1.webp","фото")</f>
        <v>фото</v>
      </c>
      <c r="R116" s="3" t="str">
        <f>HYPERLINK("https://modify.by/catalog/dzhempery/527988035/?utm_source=price&amp;utm_medium=xlsx","открыть")</f>
        <v>открыть</v>
      </c>
    </row>
    <row r="117">
      <c r="A117" t="inlineStr">
        <is>
          <t xml:space="preserve">Женский</t>
        </is>
      </c>
      <c r="B117" t="inlineStr">
        <is>
          <t xml:space="preserve">Джинсы</t>
        </is>
      </c>
      <c r="C117" t="inlineStr">
        <is>
          <t xml:space="preserve">Брюки укороченные деми</t>
        </is>
      </c>
      <c r="D117" t="inlineStr">
        <is>
          <t xml:space="preserve">JE32W02Темно-синий</t>
        </is>
      </c>
      <c r="E117" t="inlineStr">
        <is>
          <t xml:space="preserve">темно-синий</t>
        </is>
      </c>
      <c r="F117" t="inlineStr">
        <is>
          <t xml:space="preserve">38</t>
        </is>
      </c>
      <c r="G117">
        <v>3</v>
      </c>
      <c r="H117" s="2">
        <v>36.0</v>
      </c>
      <c r="I117" t="inlineStr">
        <is>
          <t xml:space="preserve">Хлопок 98% Эластан 2%</t>
        </is>
      </c>
      <c r="J117" t="inlineStr">
        <is>
          <t xml:space="preserve">демисезон</t>
        </is>
      </c>
      <c r="K117" t="inlineStr">
        <is>
          <t xml:space="preserve">Бангладеш</t>
        </is>
      </c>
      <c r="L117" t="inlineStr">
        <is>
          <t xml:space="preserve">6204623100</t>
        </is>
      </c>
      <c r="M117" t="inlineStr">
        <is>
          <t xml:space="preserve">Декларация № ЕАЭС № BY/112 11.01. ТР017 122.01 08246, до 19.04.2028</t>
        </is>
      </c>
      <c r="N117" t="inlineStr">
        <is>
          <t xml:space="preserve">30 × 35 × 4</t>
        </is>
      </c>
      <c r="O117" t="inlineStr">
        <is>
          <t xml:space="preserve">0,38</t>
        </is>
      </c>
      <c r="P117" t="inlineStr">
        <is>
          <t xml:space="preserve">2026620771937</t>
        </is>
      </c>
      <c r="Q117" s="3" t="str">
        <f>HYPERLINK("https://modify.by/img/153600416/1.webp","фото")</f>
        <v>фото</v>
      </c>
      <c r="R117" s="3" t="str">
        <f>HYPERLINK("https://modify.by/catalog/dzhinsy/153600416/?utm_source=price&amp;utm_medium=xlsx","открыть")</f>
        <v>открыть</v>
      </c>
    </row>
    <row r="118">
      <c r="A118" t="inlineStr">
        <is>
          <t xml:space="preserve">Женский</t>
        </is>
      </c>
      <c r="B118" t="inlineStr">
        <is>
          <t xml:space="preserve">Джинсы</t>
        </is>
      </c>
      <c r="C118" t="inlineStr">
        <is>
          <t xml:space="preserve">Брюки укороченные деми</t>
        </is>
      </c>
      <c r="D118" t="inlineStr">
        <is>
          <t xml:space="preserve">JE32W02Темно-синий</t>
        </is>
      </c>
      <c r="E118" t="inlineStr">
        <is>
          <t xml:space="preserve">темно-синий</t>
        </is>
      </c>
      <c r="F118" t="inlineStr">
        <is>
          <t xml:space="preserve">38</t>
        </is>
      </c>
      <c r="G118">
        <v>3</v>
      </c>
      <c r="H118" s="2">
        <v>36.0</v>
      </c>
      <c r="I118" t="inlineStr">
        <is>
          <t xml:space="preserve">Хлопок 98% Эластан 2%</t>
        </is>
      </c>
      <c r="J118" t="inlineStr">
        <is>
          <t xml:space="preserve">демисезон</t>
        </is>
      </c>
      <c r="K118" t="inlineStr">
        <is>
          <t xml:space="preserve">Бангладеш</t>
        </is>
      </c>
      <c r="L118" t="inlineStr">
        <is>
          <t xml:space="preserve">6204623100</t>
        </is>
      </c>
      <c r="M118" t="inlineStr">
        <is>
          <t xml:space="preserve">Декларация № ЕАЭС № BY/112 11.01. ТР017 122.01 08246, до 19.04.2028</t>
        </is>
      </c>
      <c r="N118" t="inlineStr">
        <is>
          <t xml:space="preserve">30 × 35 × 4</t>
        </is>
      </c>
      <c r="O118" t="inlineStr">
        <is>
          <t xml:space="preserve">0,38</t>
        </is>
      </c>
      <c r="P118" t="inlineStr">
        <is>
          <t xml:space="preserve">4816148128546</t>
        </is>
      </c>
      <c r="Q118" s="3" t="str">
        <f>HYPERLINK("https://modify.by/img/153600416/1.webp","фото")</f>
        <v>фото</v>
      </c>
      <c r="R118" s="3" t="str">
        <f>HYPERLINK("https://modify.by/catalog/dzhinsy/153600416/?utm_source=price&amp;utm_medium=xlsx","открыть")</f>
        <v>открыть</v>
      </c>
    </row>
    <row r="119">
      <c r="A119" t="inlineStr">
        <is>
          <t xml:space="preserve">Женский</t>
        </is>
      </c>
      <c r="B119" t="inlineStr">
        <is>
          <t xml:space="preserve">Джинсы</t>
        </is>
      </c>
      <c r="C119" t="inlineStr">
        <is>
          <t xml:space="preserve">Брюки укороченные деми</t>
        </is>
      </c>
      <c r="D119" t="inlineStr">
        <is>
          <t xml:space="preserve">JE32W02Темно-синий</t>
        </is>
      </c>
      <c r="E119" t="inlineStr">
        <is>
          <t xml:space="preserve">темно-синий</t>
        </is>
      </c>
      <c r="F119" t="inlineStr">
        <is>
          <t xml:space="preserve">40</t>
        </is>
      </c>
      <c r="G119">
        <v>6</v>
      </c>
      <c r="H119" s="2">
        <v>36.0</v>
      </c>
      <c r="I119" t="inlineStr">
        <is>
          <t xml:space="preserve">Хлопок 98% Эластан 2%</t>
        </is>
      </c>
      <c r="J119" t="inlineStr">
        <is>
          <t xml:space="preserve">демисезон</t>
        </is>
      </c>
      <c r="K119" t="inlineStr">
        <is>
          <t xml:space="preserve">Бангладеш</t>
        </is>
      </c>
      <c r="L119" t="inlineStr">
        <is>
          <t xml:space="preserve">6204623100</t>
        </is>
      </c>
      <c r="M119" t="inlineStr">
        <is>
          <t xml:space="preserve">Декларация № ЕАЭС № BY/112 11.01. ТР017 122.01 08246, до 19.04.2028</t>
        </is>
      </c>
      <c r="N119" t="inlineStr">
        <is>
          <t xml:space="preserve">30 × 35 × 4</t>
        </is>
      </c>
      <c r="O119" t="inlineStr">
        <is>
          <t xml:space="preserve">0,38</t>
        </is>
      </c>
      <c r="P119" t="inlineStr">
        <is>
          <t xml:space="preserve">2026620771920</t>
        </is>
      </c>
      <c r="Q119" s="3" t="str">
        <f>HYPERLINK("https://modify.by/img/153600416/1.webp","фото")</f>
        <v>фото</v>
      </c>
      <c r="R119" s="3" t="str">
        <f>HYPERLINK("https://modify.by/catalog/dzhinsy/153600416/?utm_source=price&amp;utm_medium=xlsx","открыть")</f>
        <v>открыть</v>
      </c>
    </row>
    <row r="120">
      <c r="A120" t="inlineStr">
        <is>
          <t xml:space="preserve">Женский</t>
        </is>
      </c>
      <c r="B120" t="inlineStr">
        <is>
          <t xml:space="preserve">Джинсы</t>
        </is>
      </c>
      <c r="C120" t="inlineStr">
        <is>
          <t xml:space="preserve">Брюки укороченные деми</t>
        </is>
      </c>
      <c r="D120" t="inlineStr">
        <is>
          <t xml:space="preserve">JE32W02Темно-синий</t>
        </is>
      </c>
      <c r="E120" t="inlineStr">
        <is>
          <t xml:space="preserve">темно-синий</t>
        </is>
      </c>
      <c r="F120" t="inlineStr">
        <is>
          <t xml:space="preserve">40</t>
        </is>
      </c>
      <c r="G120">
        <v>6</v>
      </c>
      <c r="H120" s="2">
        <v>36.0</v>
      </c>
      <c r="I120" t="inlineStr">
        <is>
          <t xml:space="preserve">Хлопок 98% Эластан 2%</t>
        </is>
      </c>
      <c r="J120" t="inlineStr">
        <is>
          <t xml:space="preserve">демисезон</t>
        </is>
      </c>
      <c r="K120" t="inlineStr">
        <is>
          <t xml:space="preserve">Бангладеш</t>
        </is>
      </c>
      <c r="L120" t="inlineStr">
        <is>
          <t xml:space="preserve">6204623100</t>
        </is>
      </c>
      <c r="M120" t="inlineStr">
        <is>
          <t xml:space="preserve">Декларация № ЕАЭС № BY/112 11.01. ТР017 122.01 08246, до 19.04.2028</t>
        </is>
      </c>
      <c r="N120" t="inlineStr">
        <is>
          <t xml:space="preserve">30 × 35 × 4</t>
        </is>
      </c>
      <c r="O120" t="inlineStr">
        <is>
          <t xml:space="preserve">0,38</t>
        </is>
      </c>
      <c r="P120" t="inlineStr">
        <is>
          <t xml:space="preserve">4816148109002</t>
        </is>
      </c>
      <c r="Q120" s="3" t="str">
        <f>HYPERLINK("https://modify.by/img/153600416/1.webp","фото")</f>
        <v>фото</v>
      </c>
      <c r="R120" s="3" t="str">
        <f>HYPERLINK("https://modify.by/catalog/dzhinsy/153600416/?utm_source=price&amp;utm_medium=xlsx","открыть")</f>
        <v>открыть</v>
      </c>
    </row>
    <row r="121">
      <c r="A121" t="inlineStr">
        <is>
          <t xml:space="preserve">Женский</t>
        </is>
      </c>
      <c r="B121" t="inlineStr">
        <is>
          <t xml:space="preserve">Джинсы</t>
        </is>
      </c>
      <c r="C121" t="inlineStr">
        <is>
          <t xml:space="preserve">Брюки укороченные деми</t>
        </is>
      </c>
      <c r="D121" t="inlineStr">
        <is>
          <t xml:space="preserve">JE32W02Темно-синий</t>
        </is>
      </c>
      <c r="E121" t="inlineStr">
        <is>
          <t xml:space="preserve">темно-синий</t>
        </is>
      </c>
      <c r="F121" t="inlineStr">
        <is>
          <t xml:space="preserve">42</t>
        </is>
      </c>
      <c r="G121">
        <v>1</v>
      </c>
      <c r="H121" s="2">
        <v>36.0</v>
      </c>
      <c r="I121" t="inlineStr">
        <is>
          <t xml:space="preserve">Хлопок 98% Эластан 2%</t>
        </is>
      </c>
      <c r="J121" t="inlineStr">
        <is>
          <t xml:space="preserve">демисезон</t>
        </is>
      </c>
      <c r="K121" t="inlineStr">
        <is>
          <t xml:space="preserve">Бангладеш</t>
        </is>
      </c>
      <c r="L121" t="inlineStr">
        <is>
          <t xml:space="preserve">6204623100</t>
        </is>
      </c>
      <c r="M121" t="inlineStr">
        <is>
          <t xml:space="preserve">Декларация № ЕАЭС № BY/112 11.01. ТР017 122.01 08246, до 19.04.2028</t>
        </is>
      </c>
      <c r="N121" t="inlineStr">
        <is>
          <t xml:space="preserve">30 × 35 × 4</t>
        </is>
      </c>
      <c r="O121" t="inlineStr">
        <is>
          <t xml:space="preserve">0,38</t>
        </is>
      </c>
      <c r="P121" t="inlineStr">
        <is>
          <t xml:space="preserve">2026620771913</t>
        </is>
      </c>
      <c r="Q121" s="3" t="str">
        <f>HYPERLINK("https://modify.by/img/153600416/1.webp","фото")</f>
        <v>фото</v>
      </c>
      <c r="R121" s="3" t="str">
        <f>HYPERLINK("https://modify.by/catalog/dzhinsy/153600416/?utm_source=price&amp;utm_medium=xlsx","открыть")</f>
        <v>открыть</v>
      </c>
    </row>
    <row r="122">
      <c r="A122" t="inlineStr">
        <is>
          <t xml:space="preserve">Женский</t>
        </is>
      </c>
      <c r="B122" t="inlineStr">
        <is>
          <t xml:space="preserve">Джинсы</t>
        </is>
      </c>
      <c r="C122" t="inlineStr">
        <is>
          <t xml:space="preserve">Брюки укороченные деми</t>
        </is>
      </c>
      <c r="D122" t="inlineStr">
        <is>
          <t xml:space="preserve">JE32W02Темно-синий</t>
        </is>
      </c>
      <c r="E122" t="inlineStr">
        <is>
          <t xml:space="preserve">темно-синий</t>
        </is>
      </c>
      <c r="F122" t="inlineStr">
        <is>
          <t xml:space="preserve">42</t>
        </is>
      </c>
      <c r="G122">
        <v>1</v>
      </c>
      <c r="H122" s="2">
        <v>36.0</v>
      </c>
      <c r="I122" t="inlineStr">
        <is>
          <t xml:space="preserve">Хлопок 98% Эластан 2%</t>
        </is>
      </c>
      <c r="J122" t="inlineStr">
        <is>
          <t xml:space="preserve">демисезон</t>
        </is>
      </c>
      <c r="K122" t="inlineStr">
        <is>
          <t xml:space="preserve">Бангладеш</t>
        </is>
      </c>
      <c r="L122" t="inlineStr">
        <is>
          <t xml:space="preserve">6204623100</t>
        </is>
      </c>
      <c r="M122" t="inlineStr">
        <is>
          <t xml:space="preserve">Декларация № ЕАЭС № BY/112 11.01. ТР017 122.01 08246, до 19.04.2028</t>
        </is>
      </c>
      <c r="N122" t="inlineStr">
        <is>
          <t xml:space="preserve">30 × 35 × 4</t>
        </is>
      </c>
      <c r="O122" t="inlineStr">
        <is>
          <t xml:space="preserve">0,38</t>
        </is>
      </c>
      <c r="P122" t="inlineStr">
        <is>
          <t xml:space="preserve">4816148109019</t>
        </is>
      </c>
      <c r="Q122" s="3" t="str">
        <f>HYPERLINK("https://modify.by/img/153600416/1.webp","фото")</f>
        <v>фото</v>
      </c>
      <c r="R122" s="3" t="str">
        <f>HYPERLINK("https://modify.by/catalog/dzhinsy/153600416/?utm_source=price&amp;utm_medium=xlsx","открыть")</f>
        <v>открыть</v>
      </c>
    </row>
    <row r="123">
      <c r="A123" t="inlineStr">
        <is>
          <t xml:space="preserve">Женский</t>
        </is>
      </c>
      <c r="B123" t="inlineStr">
        <is>
          <t xml:space="preserve">Джинсы</t>
        </is>
      </c>
      <c r="C123" t="inlineStr">
        <is>
          <t xml:space="preserve">Джинсы Slim fit с высокой посадкой белые</t>
        </is>
      </c>
      <c r="D123" t="inlineStr">
        <is>
          <t xml:space="preserve">JE3332W041Белый</t>
        </is>
      </c>
      <c r="E123" t="inlineStr">
        <is>
          <t xml:space="preserve">белый</t>
        </is>
      </c>
      <c r="F123" t="inlineStr">
        <is>
          <t xml:space="preserve">34</t>
        </is>
      </c>
      <c r="G123">
        <v>1</v>
      </c>
      <c r="H123" s="2">
        <v>72.0</v>
      </c>
      <c r="I123" t="inlineStr">
        <is>
          <t xml:space="preserve">Хлопок 98% эластан 2%</t>
        </is>
      </c>
      <c r="J123" t="inlineStr">
        <is>
          <t xml:space="preserve">демисезон</t>
        </is>
      </c>
      <c r="K123" t="inlineStr">
        <is>
          <t xml:space="preserve">Турция</t>
        </is>
      </c>
      <c r="L123" t="inlineStr">
        <is>
          <t xml:space="preserve">6204623100</t>
        </is>
      </c>
      <c r="M123" t="inlineStr">
        <is>
          <t xml:space="preserve">Декларация № ЕАЭС № BY/112 11.01 ТР017 122.01 08885, до 21.06.2028</t>
        </is>
      </c>
      <c r="N123"/>
      <c r="O123"/>
      <c r="P123" t="inlineStr">
        <is>
          <t xml:space="preserve">2038096170299</t>
        </is>
      </c>
      <c r="Q123" s="3" t="str">
        <f>HYPERLINK("https://modify.by/img/179022395/1.webp","фото")</f>
        <v>фото</v>
      </c>
      <c r="R123" s="3" t="str">
        <f>HYPERLINK("https://modify.by/catalog/dzhinsy/179022395/?utm_source=price&amp;utm_medium=xlsx","открыть")</f>
        <v>открыть</v>
      </c>
    </row>
    <row r="124">
      <c r="A124" t="inlineStr">
        <is>
          <t xml:space="preserve">Женский</t>
        </is>
      </c>
      <c r="B124" t="inlineStr">
        <is>
          <t xml:space="preserve">Джинсы</t>
        </is>
      </c>
      <c r="C124" t="inlineStr">
        <is>
          <t xml:space="preserve">Джинсы Slim fit с высокой посадкой белые</t>
        </is>
      </c>
      <c r="D124" t="inlineStr">
        <is>
          <t xml:space="preserve">JE3332W041Белый</t>
        </is>
      </c>
      <c r="E124" t="inlineStr">
        <is>
          <t xml:space="preserve">белый</t>
        </is>
      </c>
      <c r="F124" t="inlineStr">
        <is>
          <t xml:space="preserve">36</t>
        </is>
      </c>
      <c r="G124">
        <v>1</v>
      </c>
      <c r="H124" s="2">
        <v>72.0</v>
      </c>
      <c r="I124" t="inlineStr">
        <is>
          <t xml:space="preserve">Хлопок 98% эластан 2%</t>
        </is>
      </c>
      <c r="J124" t="inlineStr">
        <is>
          <t xml:space="preserve">демисезон</t>
        </is>
      </c>
      <c r="K124" t="inlineStr">
        <is>
          <t xml:space="preserve">Турция</t>
        </is>
      </c>
      <c r="L124" t="inlineStr">
        <is>
          <t xml:space="preserve">6204623100</t>
        </is>
      </c>
      <c r="M124" t="inlineStr">
        <is>
          <t xml:space="preserve">Декларация № ЕАЭС № BY/112 11.01 ТР017 122.01 08885, до 21.06.2028</t>
        </is>
      </c>
      <c r="N124"/>
      <c r="O124"/>
      <c r="P124" t="inlineStr">
        <is>
          <t xml:space="preserve">2038096170305</t>
        </is>
      </c>
      <c r="Q124" s="3" t="str">
        <f>HYPERLINK("https://modify.by/img/179022395/1.webp","фото")</f>
        <v>фото</v>
      </c>
      <c r="R124" s="3" t="str">
        <f>HYPERLINK("https://modify.by/catalog/dzhinsy/179022395/?utm_source=price&amp;utm_medium=xlsx","открыть")</f>
        <v>открыть</v>
      </c>
    </row>
    <row r="125">
      <c r="A125" t="inlineStr">
        <is>
          <t xml:space="preserve">Женский</t>
        </is>
      </c>
      <c r="B125" t="inlineStr">
        <is>
          <t xml:space="preserve">Джинсы</t>
        </is>
      </c>
      <c r="C125" t="inlineStr">
        <is>
          <t xml:space="preserve">Джинсы с высокой посадкой прямые стрейч</t>
        </is>
      </c>
      <c r="D125" t="inlineStr">
        <is>
          <t xml:space="preserve">JE32W031синий</t>
        </is>
      </c>
      <c r="E125" t="inlineStr">
        <is>
          <t xml:space="preserve">синий</t>
        </is>
      </c>
      <c r="F125" t="inlineStr">
        <is>
          <t xml:space="preserve">54/158</t>
        </is>
      </c>
      <c r="G125">
        <v>1</v>
      </c>
      <c r="H125" s="2">
        <v>37.0</v>
      </c>
      <c r="I125" t="inlineStr">
        <is>
          <t xml:space="preserve">хлопок 75% полиамид 23% эластан 2%</t>
        </is>
      </c>
      <c r="J125" t="inlineStr">
        <is>
          <t xml:space="preserve">демисезон</t>
        </is>
      </c>
      <c r="K125" t="inlineStr">
        <is>
          <t xml:space="preserve">Бангладеш</t>
        </is>
      </c>
      <c r="L125" t="inlineStr">
        <is>
          <t xml:space="preserve">6204623100</t>
        </is>
      </c>
      <c r="M125" t="inlineStr">
        <is>
          <t xml:space="preserve">по запросу</t>
        </is>
      </c>
      <c r="N125" t="inlineStr">
        <is>
          <t xml:space="preserve">38 × 29 × 2</t>
        </is>
      </c>
      <c r="O125" t="inlineStr">
        <is>
          <t xml:space="preserve">0,45</t>
        </is>
      </c>
      <c r="P125" t="inlineStr">
        <is>
          <t xml:space="preserve">2038096197463</t>
        </is>
      </c>
      <c r="Q125" s="3" t="str">
        <f>HYPERLINK("https://modify.by/img/200736648/1.webp","фото")</f>
        <v>фото</v>
      </c>
      <c r="R125" s="3" t="str">
        <f>HYPERLINK("https://modify.by/catalog/dzhinsy/200736648/?utm_source=price&amp;utm_medium=xlsx","открыть")</f>
        <v>открыть</v>
      </c>
    </row>
    <row r="126">
      <c r="A126" t="inlineStr">
        <is>
          <t xml:space="preserve">Женский</t>
        </is>
      </c>
      <c r="B126" t="inlineStr">
        <is>
          <t xml:space="preserve">Джинсы</t>
        </is>
      </c>
      <c r="C126" t="inlineStr">
        <is>
          <t xml:space="preserve">Джинсы скини (Skinny) на высокой посадке, темно-голубой</t>
        </is>
      </c>
      <c r="D126" t="inlineStr">
        <is>
          <t xml:space="preserve">JE3332W013Темно-голубой</t>
        </is>
      </c>
      <c r="E126" t="inlineStr">
        <is>
          <t xml:space="preserve">темно-голубой</t>
        </is>
      </c>
      <c r="F126" t="inlineStr">
        <is>
          <t xml:space="preserve">42</t>
        </is>
      </c>
      <c r="G126">
        <v>1</v>
      </c>
      <c r="H126" s="2">
        <v>78.0</v>
      </c>
      <c r="I126" t="inlineStr">
        <is>
          <t xml:space="preserve">Хлопок 98% эластан 2%</t>
        </is>
      </c>
      <c r="J126" t="inlineStr">
        <is>
          <t xml:space="preserve">демисезон</t>
        </is>
      </c>
      <c r="K126" t="inlineStr">
        <is>
          <t xml:space="preserve">Турция</t>
        </is>
      </c>
      <c r="L126" t="inlineStr">
        <is>
          <t xml:space="preserve">6204623100</t>
        </is>
      </c>
      <c r="M126" t="inlineStr">
        <is>
          <t xml:space="preserve">Декларация № ЕАЭС № BY/112 11.01 ТР017 122.01 08885, до 21.06.2028</t>
        </is>
      </c>
      <c r="N126" t="inlineStr">
        <is>
          <t xml:space="preserve">35 × 30 × 4</t>
        </is>
      </c>
      <c r="O126" t="inlineStr">
        <is>
          <t xml:space="preserve">0,52</t>
        </is>
      </c>
      <c r="P126" t="inlineStr">
        <is>
          <t xml:space="preserve">2038096170398</t>
        </is>
      </c>
      <c r="Q126" s="3" t="str">
        <f>HYPERLINK("https://modify.by/img/178162660/1.webp","фото")</f>
        <v>фото</v>
      </c>
      <c r="R126" s="3" t="str">
        <f>HYPERLINK("https://modify.by/catalog/dzhinsy/178162660/?utm_source=price&amp;utm_medium=xlsx","открыть")</f>
        <v>открыть</v>
      </c>
    </row>
    <row r="127">
      <c r="A127" t="inlineStr">
        <is>
          <t xml:space="preserve">Женский</t>
        </is>
      </c>
      <c r="B127" t="inlineStr">
        <is>
          <t xml:space="preserve">Джинсы</t>
        </is>
      </c>
      <c r="C127" t="inlineStr">
        <is>
          <t xml:space="preserve">Джинсы скини (Skinny) на высокой посадке, темно-синий</t>
        </is>
      </c>
      <c r="D127" t="inlineStr">
        <is>
          <t xml:space="preserve">JE3332W013Темно-синий</t>
        </is>
      </c>
      <c r="E127" t="inlineStr">
        <is>
          <t xml:space="preserve">темно-синий</t>
        </is>
      </c>
      <c r="F127" t="inlineStr">
        <is>
          <t xml:space="preserve">42</t>
        </is>
      </c>
      <c r="G127">
        <v>1</v>
      </c>
      <c r="H127" s="2">
        <v>78.0</v>
      </c>
      <c r="I127" t="inlineStr">
        <is>
          <t xml:space="preserve">Хлопок 98% эластан 2%</t>
        </is>
      </c>
      <c r="J127" t="inlineStr">
        <is>
          <t xml:space="preserve">демисезон</t>
        </is>
      </c>
      <c r="K127" t="inlineStr">
        <is>
          <t xml:space="preserve">Турция</t>
        </is>
      </c>
      <c r="L127" t="inlineStr">
        <is>
          <t xml:space="preserve">6204623100</t>
        </is>
      </c>
      <c r="M127" t="inlineStr">
        <is>
          <t xml:space="preserve">Декларация № ЕАЭС № BY/112 11.01 ТР017 122.01 08885, до 21.06.2028</t>
        </is>
      </c>
      <c r="N127" t="inlineStr">
        <is>
          <t xml:space="preserve">35 × 30 × 4</t>
        </is>
      </c>
      <c r="O127" t="inlineStr">
        <is>
          <t xml:space="preserve">0,52</t>
        </is>
      </c>
      <c r="P127" t="inlineStr">
        <is>
          <t xml:space="preserve">2038096170442</t>
        </is>
      </c>
      <c r="Q127" s="3" t="str">
        <f>HYPERLINK("https://modify.by/img/178162662/1.webp","фото")</f>
        <v>фото</v>
      </c>
      <c r="R127" s="3" t="str">
        <f>HYPERLINK("https://modify.by/catalog/dzhinsy/178162662/?utm_source=price&amp;utm_medium=xlsx","открыть")</f>
        <v>открыть</v>
      </c>
    </row>
    <row r="128">
      <c r="A128" t="inlineStr">
        <is>
          <t xml:space="preserve">Женский</t>
        </is>
      </c>
      <c r="B128" t="inlineStr">
        <is>
          <t xml:space="preserve">Джинсы</t>
        </is>
      </c>
      <c r="C128" t="inlineStr">
        <is>
          <t xml:space="preserve">Джинсы скинни голубые со средней посадкой</t>
        </is>
      </c>
      <c r="D128" t="inlineStr">
        <is>
          <t xml:space="preserve">JE3332W011Голубой</t>
        </is>
      </c>
      <c r="E128"/>
      <c r="F128" t="inlineStr">
        <is>
          <t xml:space="preserve">52/170</t>
        </is>
      </c>
      <c r="G128">
        <v>1</v>
      </c>
      <c r="H128" s="2">
        <v>78.0</v>
      </c>
      <c r="I128" t="inlineStr">
        <is>
          <t xml:space="preserve">Хлопок 97% Эластан 3%</t>
        </is>
      </c>
      <c r="J128" t="inlineStr">
        <is>
          <t xml:space="preserve">демисезон</t>
        </is>
      </c>
      <c r="K128" t="inlineStr">
        <is>
          <t xml:space="preserve">Турция</t>
        </is>
      </c>
      <c r="L128" t="inlineStr">
        <is>
          <t xml:space="preserve">6204623100</t>
        </is>
      </c>
      <c r="M128" t="inlineStr">
        <is>
          <t xml:space="preserve">Декларация № ЕАЭС № BY/112 11.01 ТР017 122.01 08885, до 21.06.2028</t>
        </is>
      </c>
      <c r="N128" t="inlineStr">
        <is>
          <t xml:space="preserve">32 × 29 × 3</t>
        </is>
      </c>
      <c r="O128" t="inlineStr">
        <is>
          <t xml:space="preserve">0,52</t>
        </is>
      </c>
      <c r="P128" t="inlineStr">
        <is>
          <t xml:space="preserve">2038096169576</t>
        </is>
      </c>
      <c r="Q128" s="3" t="str">
        <f>HYPERLINK("https://modify.by/img/178144426/1.webp","фото")</f>
        <v>фото</v>
      </c>
      <c r="R128" s="3" t="str">
        <f>HYPERLINK("https://modify.by/catalog/dzhinsy/178144426/?utm_source=price&amp;utm_medium=xlsx","открыть")</f>
        <v>открыть</v>
      </c>
    </row>
    <row r="129">
      <c r="A129" t="inlineStr">
        <is>
          <t xml:space="preserve">Женский</t>
        </is>
      </c>
      <c r="B129" t="inlineStr">
        <is>
          <t xml:space="preserve">Джинсы</t>
        </is>
      </c>
      <c r="C129" t="inlineStr">
        <is>
          <t xml:space="preserve">Джинсы скинни на резинке</t>
        </is>
      </c>
      <c r="D129" t="inlineStr">
        <is>
          <t xml:space="preserve">JE32W07синий</t>
        </is>
      </c>
      <c r="E129" t="inlineStr">
        <is>
          <t xml:space="preserve">синий</t>
        </is>
      </c>
      <c r="F129" t="inlineStr">
        <is>
          <t xml:space="preserve">42</t>
        </is>
      </c>
      <c r="G129">
        <v>53</v>
      </c>
      <c r="H129" s="2">
        <v>37.0</v>
      </c>
      <c r="I129" t="inlineStr">
        <is>
          <t xml:space="preserve">98% хлопок, 2% эластан</t>
        </is>
      </c>
      <c r="J129" t="inlineStr">
        <is>
          <t xml:space="preserve">демисезон</t>
        </is>
      </c>
      <c r="K129" t="inlineStr">
        <is>
          <t xml:space="preserve">Бангладеш</t>
        </is>
      </c>
      <c r="L129" t="inlineStr">
        <is>
          <t xml:space="preserve">6204623100</t>
        </is>
      </c>
      <c r="M129" t="inlineStr">
        <is>
          <t xml:space="preserve">Декларация № ЕАЭС № BY/112 11.01. ТР017 122.01 08246, до 19.04.2028</t>
        </is>
      </c>
      <c r="N129" t="inlineStr">
        <is>
          <t xml:space="preserve">38 × 29 × 2</t>
        </is>
      </c>
      <c r="O129" t="inlineStr">
        <is>
          <t xml:space="preserve">0,42</t>
        </is>
      </c>
      <c r="P129" t="inlineStr">
        <is>
          <t xml:space="preserve">2038096188201</t>
        </is>
      </c>
      <c r="Q129" s="3" t="str">
        <f>HYPERLINK("https://modify.by/img/210517443/1.webp","фото")</f>
        <v>фото</v>
      </c>
      <c r="R129" s="3" t="str">
        <f>HYPERLINK("https://modify.by/catalog/dzhinsy/210517443/?utm_source=price&amp;utm_medium=xlsx","открыть")</f>
        <v>открыть</v>
      </c>
    </row>
    <row r="130">
      <c r="A130" t="inlineStr">
        <is>
          <t xml:space="preserve">Женский</t>
        </is>
      </c>
      <c r="B130" t="inlineStr">
        <is>
          <t xml:space="preserve">Джинсы</t>
        </is>
      </c>
      <c r="C130" t="inlineStr">
        <is>
          <t xml:space="preserve">Джинсы скинни на резинке</t>
        </is>
      </c>
      <c r="D130" t="inlineStr">
        <is>
          <t xml:space="preserve">JE32W07синий</t>
        </is>
      </c>
      <c r="E130" t="inlineStr">
        <is>
          <t xml:space="preserve">синий</t>
        </is>
      </c>
      <c r="F130" t="inlineStr">
        <is>
          <t xml:space="preserve">42</t>
        </is>
      </c>
      <c r="G130">
        <v>53</v>
      </c>
      <c r="H130" s="2">
        <v>37.0</v>
      </c>
      <c r="I130" t="inlineStr">
        <is>
          <t xml:space="preserve">98% хлопок, 2% эластан</t>
        </is>
      </c>
      <c r="J130" t="inlineStr">
        <is>
          <t xml:space="preserve">демисезон</t>
        </is>
      </c>
      <c r="K130" t="inlineStr">
        <is>
          <t xml:space="preserve">Бангладеш</t>
        </is>
      </c>
      <c r="L130" t="inlineStr">
        <is>
          <t xml:space="preserve">6204623100</t>
        </is>
      </c>
      <c r="M130" t="inlineStr">
        <is>
          <t xml:space="preserve">Декларация № ЕАЭС № BY/112 11.01. ТР017 122.01 08246, до 19.04.2028</t>
        </is>
      </c>
      <c r="N130" t="inlineStr">
        <is>
          <t xml:space="preserve">38 × 29 × 2</t>
        </is>
      </c>
      <c r="O130" t="inlineStr">
        <is>
          <t xml:space="preserve">0,42</t>
        </is>
      </c>
      <c r="P130" t="inlineStr">
        <is>
          <t xml:space="preserve">4816148109125</t>
        </is>
      </c>
      <c r="Q130" s="3" t="str">
        <f>HYPERLINK("https://modify.by/img/210517443/1.webp","фото")</f>
        <v>фото</v>
      </c>
      <c r="R130" s="3" t="str">
        <f>HYPERLINK("https://modify.by/catalog/dzhinsy/210517443/?utm_source=price&amp;utm_medium=xlsx","открыть")</f>
        <v>открыть</v>
      </c>
    </row>
    <row r="131">
      <c r="A131" t="inlineStr">
        <is>
          <t xml:space="preserve">Женский</t>
        </is>
      </c>
      <c r="B131" t="inlineStr">
        <is>
          <t xml:space="preserve">Джинсы</t>
        </is>
      </c>
      <c r="C131" t="inlineStr">
        <is>
          <t xml:space="preserve">Джинсы скинни на резинке</t>
        </is>
      </c>
      <c r="D131" t="inlineStr">
        <is>
          <t xml:space="preserve">JE32W07синий</t>
        </is>
      </c>
      <c r="E131" t="inlineStr">
        <is>
          <t xml:space="preserve">синий</t>
        </is>
      </c>
      <c r="F131" t="inlineStr">
        <is>
          <t xml:space="preserve">44</t>
        </is>
      </c>
      <c r="G131">
        <v>10</v>
      </c>
      <c r="H131" s="2">
        <v>37.0</v>
      </c>
      <c r="I131" t="inlineStr">
        <is>
          <t xml:space="preserve">98% хлопок, 2% эластан</t>
        </is>
      </c>
      <c r="J131" t="inlineStr">
        <is>
          <t xml:space="preserve">демисезон</t>
        </is>
      </c>
      <c r="K131" t="inlineStr">
        <is>
          <t xml:space="preserve">Бангладеш</t>
        </is>
      </c>
      <c r="L131" t="inlineStr">
        <is>
          <t xml:space="preserve">6204623100</t>
        </is>
      </c>
      <c r="M131" t="inlineStr">
        <is>
          <t xml:space="preserve">Декларация № ЕАЭС № BY/112 11.01. ТР017 122.01 08246, до 19.04.2028</t>
        </is>
      </c>
      <c r="N131" t="inlineStr">
        <is>
          <t xml:space="preserve">38 × 29 × 2</t>
        </is>
      </c>
      <c r="O131" t="inlineStr">
        <is>
          <t xml:space="preserve">0,42</t>
        </is>
      </c>
      <c r="P131" t="inlineStr">
        <is>
          <t xml:space="preserve">2038096188218</t>
        </is>
      </c>
      <c r="Q131" s="3" t="str">
        <f>HYPERLINK("https://modify.by/img/210517443/1.webp","фото")</f>
        <v>фото</v>
      </c>
      <c r="R131" s="3" t="str">
        <f>HYPERLINK("https://modify.by/catalog/dzhinsy/210517443/?utm_source=price&amp;utm_medium=xlsx","открыть")</f>
        <v>открыть</v>
      </c>
    </row>
    <row r="132">
      <c r="A132" t="inlineStr">
        <is>
          <t xml:space="preserve">Женский</t>
        </is>
      </c>
      <c r="B132" t="inlineStr">
        <is>
          <t xml:space="preserve">Джинсы</t>
        </is>
      </c>
      <c r="C132" t="inlineStr">
        <is>
          <t xml:space="preserve">Джинсы скинни на резинке</t>
        </is>
      </c>
      <c r="D132" t="inlineStr">
        <is>
          <t xml:space="preserve">JE32W07синий</t>
        </is>
      </c>
      <c r="E132" t="inlineStr">
        <is>
          <t xml:space="preserve">синий</t>
        </is>
      </c>
      <c r="F132" t="inlineStr">
        <is>
          <t xml:space="preserve">44</t>
        </is>
      </c>
      <c r="G132">
        <v>10</v>
      </c>
      <c r="H132" s="2">
        <v>37.0</v>
      </c>
      <c r="I132" t="inlineStr">
        <is>
          <t xml:space="preserve">98% хлопок, 2% эластан</t>
        </is>
      </c>
      <c r="J132" t="inlineStr">
        <is>
          <t xml:space="preserve">демисезон</t>
        </is>
      </c>
      <c r="K132" t="inlineStr">
        <is>
          <t xml:space="preserve">Бангладеш</t>
        </is>
      </c>
      <c r="L132" t="inlineStr">
        <is>
          <t xml:space="preserve">6204623100</t>
        </is>
      </c>
      <c r="M132" t="inlineStr">
        <is>
          <t xml:space="preserve">Декларация № ЕАЭС № BY/112 11.01. ТР017 122.01 08246, до 19.04.2028</t>
        </is>
      </c>
      <c r="N132" t="inlineStr">
        <is>
          <t xml:space="preserve">38 × 29 × 2</t>
        </is>
      </c>
      <c r="O132" t="inlineStr">
        <is>
          <t xml:space="preserve">0,42</t>
        </is>
      </c>
      <c r="P132" t="inlineStr">
        <is>
          <t xml:space="preserve">4816148109132</t>
        </is>
      </c>
      <c r="Q132" s="3" t="str">
        <f>HYPERLINK("https://modify.by/img/210517443/1.webp","фото")</f>
        <v>фото</v>
      </c>
      <c r="R132" s="3" t="str">
        <f>HYPERLINK("https://modify.by/catalog/dzhinsy/210517443/?utm_source=price&amp;utm_medium=xlsx","открыть")</f>
        <v>открыть</v>
      </c>
    </row>
    <row r="133">
      <c r="A133" t="inlineStr">
        <is>
          <t xml:space="preserve">Женский</t>
        </is>
      </c>
      <c r="B133" t="inlineStr">
        <is>
          <t xml:space="preserve">Джинсы</t>
        </is>
      </c>
      <c r="C133" t="inlineStr">
        <is>
          <t xml:space="preserve">Джинсы скинни укороченные зауженные стрейч, песочный</t>
        </is>
      </c>
      <c r="D133" t="inlineStr">
        <is>
          <t xml:space="preserve">PA32W07песочный</t>
        </is>
      </c>
      <c r="E133" t="inlineStr">
        <is>
          <t xml:space="preserve">песочный, бежевый</t>
        </is>
      </c>
      <c r="F133" t="inlineStr">
        <is>
          <t xml:space="preserve">48</t>
        </is>
      </c>
      <c r="G133">
        <v>1</v>
      </c>
      <c r="H133" s="2">
        <v>38.0</v>
      </c>
      <c r="I133" t="inlineStr">
        <is>
          <t xml:space="preserve">Хлопок 75% Полиэстер 23% Эластан 2%</t>
        </is>
      </c>
      <c r="J133" t="inlineStr">
        <is>
          <t xml:space="preserve">демисезон</t>
        </is>
      </c>
      <c r="K133" t="inlineStr">
        <is>
          <t xml:space="preserve">Бангладеш</t>
        </is>
      </c>
      <c r="L133" t="inlineStr">
        <is>
          <t xml:space="preserve">6204623100</t>
        </is>
      </c>
      <c r="M133" t="inlineStr">
        <is>
          <t xml:space="preserve">Декларация № ЕАЭС № BY/112 11.01. ТР017 122.01 08246, до 19.04.2028</t>
        </is>
      </c>
      <c r="N133" t="inlineStr">
        <is>
          <t xml:space="preserve">35 × 28 × 3</t>
        </is>
      </c>
      <c r="O133" t="inlineStr">
        <is>
          <t xml:space="preserve">0,68</t>
        </is>
      </c>
      <c r="P133" t="inlineStr">
        <is>
          <t xml:space="preserve">2038096188096</t>
        </is>
      </c>
      <c r="Q133" s="3" t="str">
        <f>HYPERLINK("https://modify.by/img/200705900/1.webp","фото")</f>
        <v>фото</v>
      </c>
      <c r="R133" s="3" t="str">
        <f>HYPERLINK("https://modify.by/catalog/dzhinsy/200705900/?utm_source=price&amp;utm_medium=xlsx","открыть")</f>
        <v>открыть</v>
      </c>
    </row>
    <row r="134">
      <c r="A134" t="inlineStr">
        <is>
          <t xml:space="preserve">Женский</t>
        </is>
      </c>
      <c r="B134" t="inlineStr">
        <is>
          <t xml:space="preserve">Джинсы</t>
        </is>
      </c>
      <c r="C134" t="inlineStr">
        <is>
          <t xml:space="preserve">Джинсы скинни укороченные зауженные стрейч, песочный</t>
        </is>
      </c>
      <c r="D134" t="inlineStr">
        <is>
          <t xml:space="preserve">PA32W07песочный</t>
        </is>
      </c>
      <c r="E134" t="inlineStr">
        <is>
          <t xml:space="preserve">песочный, бежевый</t>
        </is>
      </c>
      <c r="F134" t="inlineStr">
        <is>
          <t xml:space="preserve">48</t>
        </is>
      </c>
      <c r="G134">
        <v>1</v>
      </c>
      <c r="H134" s="2">
        <v>38.0</v>
      </c>
      <c r="I134" t="inlineStr">
        <is>
          <t xml:space="preserve">Хлопок 75% Полиэстер 23% Эластан 2%</t>
        </is>
      </c>
      <c r="J134" t="inlineStr">
        <is>
          <t xml:space="preserve">демисезон</t>
        </is>
      </c>
      <c r="K134" t="inlineStr">
        <is>
          <t xml:space="preserve">Бангладеш</t>
        </is>
      </c>
      <c r="L134" t="inlineStr">
        <is>
          <t xml:space="preserve">6204623100</t>
        </is>
      </c>
      <c r="M134" t="inlineStr">
        <is>
          <t xml:space="preserve">Декларация № ЕАЭС № BY/112 11.01. ТР017 122.01 08246, до 19.04.2028</t>
        </is>
      </c>
      <c r="N134" t="inlineStr">
        <is>
          <t xml:space="preserve">35 × 28 × 3</t>
        </is>
      </c>
      <c r="O134" t="inlineStr">
        <is>
          <t xml:space="preserve">0,68</t>
        </is>
      </c>
      <c r="P134" t="inlineStr">
        <is>
          <t xml:space="preserve">4816148132758</t>
        </is>
      </c>
      <c r="Q134" s="3" t="str">
        <f>HYPERLINK("https://modify.by/img/200705900/1.webp","фото")</f>
        <v>фото</v>
      </c>
      <c r="R134" s="3" t="str">
        <f>HYPERLINK("https://modify.by/catalog/dzhinsy/200705900/?utm_source=price&amp;utm_medium=xlsx","открыть")</f>
        <v>открыть</v>
      </c>
    </row>
    <row r="135">
      <c r="A135" t="inlineStr">
        <is>
          <t xml:space="preserve">Женский</t>
        </is>
      </c>
      <c r="B135" t="inlineStr">
        <is>
          <t xml:space="preserve">Джинсы</t>
        </is>
      </c>
      <c r="C135" t="inlineStr">
        <is>
          <t xml:space="preserve">Джинсы скинни укороченные зауженные стрейч, розовый</t>
        </is>
      </c>
      <c r="D135" t="inlineStr">
        <is>
          <t xml:space="preserve">PA32W07розовый</t>
        </is>
      </c>
      <c r="E135" t="inlineStr">
        <is>
          <t xml:space="preserve">розовый</t>
        </is>
      </c>
      <c r="F135" t="inlineStr">
        <is>
          <t xml:space="preserve">54</t>
        </is>
      </c>
      <c r="G135">
        <v>26</v>
      </c>
      <c r="H135" s="2">
        <v>38.0</v>
      </c>
      <c r="I135" t="inlineStr">
        <is>
          <t xml:space="preserve">Хлопок 75% Полиэстер 23% Эластан 2%</t>
        </is>
      </c>
      <c r="J135" t="inlineStr">
        <is>
          <t xml:space="preserve">демисезон</t>
        </is>
      </c>
      <c r="K135" t="inlineStr">
        <is>
          <t xml:space="preserve">Бангладеш</t>
        </is>
      </c>
      <c r="L135" t="inlineStr">
        <is>
          <t xml:space="preserve">6204623100</t>
        </is>
      </c>
      <c r="M135" t="inlineStr">
        <is>
          <t xml:space="preserve">Декларация № ЕАЭС № BY/112 11.01. ТР017 122.01 08246, до 19.04.2028</t>
        </is>
      </c>
      <c r="N135" t="inlineStr">
        <is>
          <t xml:space="preserve">35 × 28 × 3</t>
        </is>
      </c>
      <c r="O135" t="inlineStr">
        <is>
          <t xml:space="preserve">0,68</t>
        </is>
      </c>
      <c r="P135" t="inlineStr">
        <is>
          <t xml:space="preserve">2038096188089</t>
        </is>
      </c>
      <c r="Q135" s="3" t="str">
        <f>HYPERLINK("https://modify.by/img/200705901/1.webp","фото")</f>
        <v>фото</v>
      </c>
      <c r="R135" s="3" t="str">
        <f>HYPERLINK("https://modify.by/catalog/dzhinsy/200705901/?utm_source=price&amp;utm_medium=xlsx","открыть")</f>
        <v>открыть</v>
      </c>
    </row>
    <row r="136">
      <c r="A136" t="inlineStr">
        <is>
          <t xml:space="preserve">Женский</t>
        </is>
      </c>
      <c r="B136" t="inlineStr">
        <is>
          <t xml:space="preserve">Джинсы</t>
        </is>
      </c>
      <c r="C136" t="inlineStr">
        <is>
          <t xml:space="preserve">Джинсы скинни укороченные зауженные стрейч, розовый</t>
        </is>
      </c>
      <c r="D136" t="inlineStr">
        <is>
          <t xml:space="preserve">PA32W07розовый</t>
        </is>
      </c>
      <c r="E136" t="inlineStr">
        <is>
          <t xml:space="preserve">розовый</t>
        </is>
      </c>
      <c r="F136" t="inlineStr">
        <is>
          <t xml:space="preserve">54</t>
        </is>
      </c>
      <c r="G136">
        <v>26</v>
      </c>
      <c r="H136" s="2">
        <v>38.0</v>
      </c>
      <c r="I136" t="inlineStr">
        <is>
          <t xml:space="preserve">Хлопок 75% Полиэстер 23% Эластан 2%</t>
        </is>
      </c>
      <c r="J136" t="inlineStr">
        <is>
          <t xml:space="preserve">демисезон</t>
        </is>
      </c>
      <c r="K136" t="inlineStr">
        <is>
          <t xml:space="preserve">Бангладеш</t>
        </is>
      </c>
      <c r="L136" t="inlineStr">
        <is>
          <t xml:space="preserve">6204623100</t>
        </is>
      </c>
      <c r="M136" t="inlineStr">
        <is>
          <t xml:space="preserve">Декларация № ЕАЭС № BY/112 11.01. ТР017 122.01 08246, до 19.04.2028</t>
        </is>
      </c>
      <c r="N136" t="inlineStr">
        <is>
          <t xml:space="preserve">35 × 28 × 3</t>
        </is>
      </c>
      <c r="O136" t="inlineStr">
        <is>
          <t xml:space="preserve">0,68</t>
        </is>
      </c>
      <c r="P136" t="inlineStr">
        <is>
          <t xml:space="preserve">4816148116055</t>
        </is>
      </c>
      <c r="Q136" s="3" t="str">
        <f>HYPERLINK("https://modify.by/img/200705901/1.webp","фото")</f>
        <v>фото</v>
      </c>
      <c r="R136" s="3" t="str">
        <f>HYPERLINK("https://modify.by/catalog/dzhinsy/200705901/?utm_source=price&amp;utm_medium=xlsx","открыть")</f>
        <v>открыть</v>
      </c>
    </row>
    <row r="137">
      <c r="A137" t="inlineStr">
        <is>
          <t xml:space="preserve">Женский</t>
        </is>
      </c>
      <c r="B137" t="inlineStr">
        <is>
          <t xml:space="preserve">Джинсы</t>
        </is>
      </c>
      <c r="C137" t="inlineStr">
        <is>
          <t xml:space="preserve">Джинсы трубы с высокой посадкой голубые</t>
        </is>
      </c>
      <c r="D137" t="inlineStr">
        <is>
          <t xml:space="preserve">JE3332W02Бледно-голубой</t>
        </is>
      </c>
      <c r="E137" t="inlineStr">
        <is>
          <t xml:space="preserve">бледно-голубой</t>
        </is>
      </c>
      <c r="F137" t="inlineStr">
        <is>
          <t xml:space="preserve">48/182</t>
        </is>
      </c>
      <c r="G137">
        <v>1</v>
      </c>
      <c r="H137" s="2">
        <v>86.0</v>
      </c>
      <c r="I137" t="inlineStr">
        <is>
          <t xml:space="preserve">100% хлопок</t>
        </is>
      </c>
      <c r="J137" t="inlineStr">
        <is>
          <t xml:space="preserve">Круглогодичный</t>
        </is>
      </c>
      <c r="K137" t="inlineStr">
        <is>
          <t xml:space="preserve">Турция</t>
        </is>
      </c>
      <c r="L137" t="inlineStr">
        <is>
          <t xml:space="preserve">6204623100</t>
        </is>
      </c>
      <c r="M137" t="inlineStr">
        <is>
          <t xml:space="preserve">Декларация № ЕАЭС № BY/112 11.01 ТР017 122.01 08885, до 21.06.2028</t>
        </is>
      </c>
      <c r="N137" t="inlineStr">
        <is>
          <t xml:space="preserve">35 × 30 × 4</t>
        </is>
      </c>
      <c r="O137" t="inlineStr">
        <is>
          <t xml:space="preserve">0,62</t>
        </is>
      </c>
      <c r="P137" t="inlineStr">
        <is>
          <t xml:space="preserve">2038096168920</t>
        </is>
      </c>
      <c r="Q137" s="3" t="str">
        <f>HYPERLINK("https://modify.by/img/177627311/1.webp","фото")</f>
        <v>фото</v>
      </c>
      <c r="R137" s="3" t="str">
        <f>HYPERLINK("https://modify.by/catalog/dzhinsy/177627311/?utm_source=price&amp;utm_medium=xlsx","открыть")</f>
        <v>открыть</v>
      </c>
    </row>
    <row r="138">
      <c r="A138" t="inlineStr">
        <is>
          <t xml:space="preserve">Женский</t>
        </is>
      </c>
      <c r="B138" t="inlineStr">
        <is>
          <t xml:space="preserve">Джинсы</t>
        </is>
      </c>
      <c r="C138" t="inlineStr">
        <is>
          <t xml:space="preserve">Джинсы трубы с высокой посадкой голубые</t>
        </is>
      </c>
      <c r="D138" t="inlineStr">
        <is>
          <t xml:space="preserve">JE3332W02Бледно-голубой</t>
        </is>
      </c>
      <c r="E138" t="inlineStr">
        <is>
          <t xml:space="preserve">бледно-голубой</t>
        </is>
      </c>
      <c r="F138" t="inlineStr">
        <is>
          <t xml:space="preserve">52/176</t>
        </is>
      </c>
      <c r="G138">
        <v>1</v>
      </c>
      <c r="H138" s="2">
        <v>86.0</v>
      </c>
      <c r="I138" t="inlineStr">
        <is>
          <t xml:space="preserve">100% хлопок</t>
        </is>
      </c>
      <c r="J138" t="inlineStr">
        <is>
          <t xml:space="preserve">Круглогодичный</t>
        </is>
      </c>
      <c r="K138" t="inlineStr">
        <is>
          <t xml:space="preserve">Турция</t>
        </is>
      </c>
      <c r="L138" t="inlineStr">
        <is>
          <t xml:space="preserve">6204623100</t>
        </is>
      </c>
      <c r="M138" t="inlineStr">
        <is>
          <t xml:space="preserve">Декларация № ЕАЭС № BY/112 11.01 ТР017 122.01 08885, до 21.06.2028</t>
        </is>
      </c>
      <c r="N138" t="inlineStr">
        <is>
          <t xml:space="preserve">35 × 30 × 4</t>
        </is>
      </c>
      <c r="O138" t="inlineStr">
        <is>
          <t xml:space="preserve">0,62</t>
        </is>
      </c>
      <c r="P138" t="inlineStr">
        <is>
          <t xml:space="preserve">2038096168876</t>
        </is>
      </c>
      <c r="Q138" s="3" t="str">
        <f>HYPERLINK("https://modify.by/img/177627311/1.webp","фото")</f>
        <v>фото</v>
      </c>
      <c r="R138" s="3" t="str">
        <f>HYPERLINK("https://modify.by/catalog/dzhinsy/177627311/?utm_source=price&amp;utm_medium=xlsx","открыть")</f>
        <v>открыть</v>
      </c>
    </row>
    <row r="139">
      <c r="A139" t="inlineStr">
        <is>
          <t xml:space="preserve">Женский</t>
        </is>
      </c>
      <c r="B139" t="inlineStr">
        <is>
          <t xml:space="preserve">Джинсы</t>
        </is>
      </c>
      <c r="C139" t="inlineStr">
        <is>
          <t xml:space="preserve">Джинсы укороченные</t>
        </is>
      </c>
      <c r="D139" t="inlineStr">
        <is>
          <t xml:space="preserve">JE32W08серый</t>
        </is>
      </c>
      <c r="E139" t="inlineStr">
        <is>
          <t xml:space="preserve">серый</t>
        </is>
      </c>
      <c r="F139" t="inlineStr">
        <is>
          <t xml:space="preserve">44</t>
        </is>
      </c>
      <c r="G139">
        <v>20</v>
      </c>
      <c r="H139" s="2">
        <v>38.0</v>
      </c>
      <c r="I139" t="inlineStr">
        <is>
          <t xml:space="preserve">100% хлопок</t>
        </is>
      </c>
      <c r="J139" t="inlineStr">
        <is>
          <t xml:space="preserve">демисезон</t>
        </is>
      </c>
      <c r="K139" t="inlineStr">
        <is>
          <t xml:space="preserve">Бангладеш</t>
        </is>
      </c>
      <c r="L139" t="inlineStr">
        <is>
          <t xml:space="preserve">6204623100</t>
        </is>
      </c>
      <c r="M139" t="inlineStr">
        <is>
          <t xml:space="preserve">Декларация № ЕАЭС № BY/112 11.01. ТР017 122.01 08246, до 19.04.2028</t>
        </is>
      </c>
      <c r="N139" t="inlineStr">
        <is>
          <t xml:space="preserve">38 × 29 × 2</t>
        </is>
      </c>
      <c r="O139" t="inlineStr">
        <is>
          <t xml:space="preserve">0,4</t>
        </is>
      </c>
      <c r="P139" t="inlineStr">
        <is>
          <t xml:space="preserve">2038096186849</t>
        </is>
      </c>
      <c r="Q139" s="3" t="str">
        <f>HYPERLINK("https://modify.by/img/200769428/1.webp","фото")</f>
        <v>фото</v>
      </c>
      <c r="R139" s="3" t="str">
        <f>HYPERLINK("https://modify.by/catalog/dzhinsy/200769428/?utm_source=price&amp;utm_medium=xlsx","открыть")</f>
        <v>открыть</v>
      </c>
    </row>
    <row r="140">
      <c r="A140" t="inlineStr">
        <is>
          <t xml:space="preserve">Женский</t>
        </is>
      </c>
      <c r="B140" t="inlineStr">
        <is>
          <t xml:space="preserve">Джинсы</t>
        </is>
      </c>
      <c r="C140" t="inlineStr">
        <is>
          <t xml:space="preserve">Джинсы укороченные</t>
        </is>
      </c>
      <c r="D140" t="inlineStr">
        <is>
          <t xml:space="preserve">JE32W08серый</t>
        </is>
      </c>
      <c r="E140" t="inlineStr">
        <is>
          <t xml:space="preserve">серый</t>
        </is>
      </c>
      <c r="F140" t="inlineStr">
        <is>
          <t xml:space="preserve">44</t>
        </is>
      </c>
      <c r="G140">
        <v>20</v>
      </c>
      <c r="H140" s="2">
        <v>38.0</v>
      </c>
      <c r="I140" t="inlineStr">
        <is>
          <t xml:space="preserve">100% хлопок</t>
        </is>
      </c>
      <c r="J140" t="inlineStr">
        <is>
          <t xml:space="preserve">демисезон</t>
        </is>
      </c>
      <c r="K140" t="inlineStr">
        <is>
          <t xml:space="preserve">Бангладеш</t>
        </is>
      </c>
      <c r="L140" t="inlineStr">
        <is>
          <t xml:space="preserve">6204623100</t>
        </is>
      </c>
      <c r="M140" t="inlineStr">
        <is>
          <t xml:space="preserve">Декларация № ЕАЭС № BY/112 11.01. ТР017 122.01 08246, до 19.04.2028</t>
        </is>
      </c>
      <c r="N140" t="inlineStr">
        <is>
          <t xml:space="preserve">38 × 29 × 2</t>
        </is>
      </c>
      <c r="O140" t="inlineStr">
        <is>
          <t xml:space="preserve">0,4</t>
        </is>
      </c>
      <c r="P140" t="inlineStr">
        <is>
          <t xml:space="preserve">4816148109163</t>
        </is>
      </c>
      <c r="Q140" s="3" t="str">
        <f>HYPERLINK("https://modify.by/img/200769428/1.webp","фото")</f>
        <v>фото</v>
      </c>
      <c r="R140" s="3" t="str">
        <f>HYPERLINK("https://modify.by/catalog/dzhinsy/200769428/?utm_source=price&amp;utm_medium=xlsx","открыть")</f>
        <v>открыть</v>
      </c>
    </row>
    <row r="141">
      <c r="A141" t="inlineStr">
        <is>
          <t xml:space="preserve">Женский</t>
        </is>
      </c>
      <c r="B141" t="inlineStr">
        <is>
          <t xml:space="preserve">Джинсы</t>
        </is>
      </c>
      <c r="C141" t="inlineStr">
        <is>
          <t xml:space="preserve">Джинсы укороченные</t>
        </is>
      </c>
      <c r="D141" t="inlineStr">
        <is>
          <t xml:space="preserve">JE32W08серый</t>
        </is>
      </c>
      <c r="E141" t="inlineStr">
        <is>
          <t xml:space="preserve">серый</t>
        </is>
      </c>
      <c r="F141" t="inlineStr">
        <is>
          <t xml:space="preserve">46</t>
        </is>
      </c>
      <c r="G141">
        <v>1</v>
      </c>
      <c r="H141" s="2">
        <v>38.0</v>
      </c>
      <c r="I141" t="inlineStr">
        <is>
          <t xml:space="preserve">100% хлопок</t>
        </is>
      </c>
      <c r="J141" t="inlineStr">
        <is>
          <t xml:space="preserve">демисезон</t>
        </is>
      </c>
      <c r="K141" t="inlineStr">
        <is>
          <t xml:space="preserve">Бангладеш</t>
        </is>
      </c>
      <c r="L141" t="inlineStr">
        <is>
          <t xml:space="preserve">6204623100</t>
        </is>
      </c>
      <c r="M141" t="inlineStr">
        <is>
          <t xml:space="preserve">Декларация № ЕАЭС № BY/112 11.01. ТР017 122.01 08246, до 19.04.2028</t>
        </is>
      </c>
      <c r="N141" t="inlineStr">
        <is>
          <t xml:space="preserve">38 × 29 × 2</t>
        </is>
      </c>
      <c r="O141" t="inlineStr">
        <is>
          <t xml:space="preserve">0,4</t>
        </is>
      </c>
      <c r="P141" t="inlineStr">
        <is>
          <t xml:space="preserve">2038096186856</t>
        </is>
      </c>
      <c r="Q141" s="3" t="str">
        <f>HYPERLINK("https://modify.by/img/200769428/1.webp","фото")</f>
        <v>фото</v>
      </c>
      <c r="R141" s="3" t="str">
        <f>HYPERLINK("https://modify.by/catalog/dzhinsy/200769428/?utm_source=price&amp;utm_medium=xlsx","открыть")</f>
        <v>открыть</v>
      </c>
    </row>
    <row r="142">
      <c r="A142" t="inlineStr">
        <is>
          <t xml:space="preserve">Женский</t>
        </is>
      </c>
      <c r="B142" t="inlineStr">
        <is>
          <t xml:space="preserve">Джинсы</t>
        </is>
      </c>
      <c r="C142" t="inlineStr">
        <is>
          <t xml:space="preserve">Джинсы укороченные</t>
        </is>
      </c>
      <c r="D142" t="inlineStr">
        <is>
          <t xml:space="preserve">JE32W08серый</t>
        </is>
      </c>
      <c r="E142" t="inlineStr">
        <is>
          <t xml:space="preserve">серый</t>
        </is>
      </c>
      <c r="F142" t="inlineStr">
        <is>
          <t xml:space="preserve">48</t>
        </is>
      </c>
      <c r="G142">
        <v>1</v>
      </c>
      <c r="H142" s="2">
        <v>38.0</v>
      </c>
      <c r="I142" t="inlineStr">
        <is>
          <t xml:space="preserve">100% хлопок</t>
        </is>
      </c>
      <c r="J142" t="inlineStr">
        <is>
          <t xml:space="preserve">демисезон</t>
        </is>
      </c>
      <c r="K142" t="inlineStr">
        <is>
          <t xml:space="preserve">Бангладеш</t>
        </is>
      </c>
      <c r="L142" t="inlineStr">
        <is>
          <t xml:space="preserve">6204623100</t>
        </is>
      </c>
      <c r="M142" t="inlineStr">
        <is>
          <t xml:space="preserve">Декларация № ЕАЭС № BY/112 11.01. ТР017 122.01 08246, до 19.04.2028</t>
        </is>
      </c>
      <c r="N142" t="inlineStr">
        <is>
          <t xml:space="preserve">38 × 29 × 2</t>
        </is>
      </c>
      <c r="O142" t="inlineStr">
        <is>
          <t xml:space="preserve">0,4</t>
        </is>
      </c>
      <c r="P142" t="inlineStr">
        <is>
          <t xml:space="preserve">2038096186863</t>
        </is>
      </c>
      <c r="Q142" s="3" t="str">
        <f>HYPERLINK("https://modify.by/img/200769428/1.webp","фото")</f>
        <v>фото</v>
      </c>
      <c r="R142" s="3" t="str">
        <f>HYPERLINK("https://modify.by/catalog/dzhinsy/200769428/?utm_source=price&amp;utm_medium=xlsx","открыть")</f>
        <v>открыть</v>
      </c>
    </row>
    <row r="143">
      <c r="A143" t="inlineStr">
        <is>
          <t xml:space="preserve">Женский</t>
        </is>
      </c>
      <c r="B143" t="inlineStr">
        <is>
          <t xml:space="preserve">Джинсы</t>
        </is>
      </c>
      <c r="C143" t="inlineStr">
        <is>
          <t xml:space="preserve">джинсы карго с высокой посадкой</t>
        </is>
      </c>
      <c r="D143" t="inlineStr">
        <is>
          <t xml:space="preserve">JE3332W031Хаки</t>
        </is>
      </c>
      <c r="E143" t="inlineStr">
        <is>
          <t xml:space="preserve">хаки</t>
        </is>
      </c>
      <c r="F143" t="inlineStr">
        <is>
          <t xml:space="preserve">48</t>
        </is>
      </c>
      <c r="G143">
        <v>1</v>
      </c>
      <c r="H143" s="2">
        <v>101.0</v>
      </c>
      <c r="I143" t="inlineStr">
        <is>
          <t xml:space="preserve">хлопок 100%</t>
        </is>
      </c>
      <c r="J143" t="inlineStr">
        <is>
          <t xml:space="preserve">Демисезон</t>
        </is>
      </c>
      <c r="K143" t="inlineStr">
        <is>
          <t xml:space="preserve">Турция</t>
        </is>
      </c>
      <c r="L143" t="inlineStr">
        <is>
          <t xml:space="preserve">6204623100</t>
        </is>
      </c>
      <c r="M143" t="inlineStr">
        <is>
          <t xml:space="preserve">Декларация № ЕАЭС № BY/112 11.01 ТР017 122.01 08885, до 21.06.2028</t>
        </is>
      </c>
      <c r="N143" t="inlineStr">
        <is>
          <t xml:space="preserve">35 × 28 × 3</t>
        </is>
      </c>
      <c r="O143" t="inlineStr">
        <is>
          <t xml:space="preserve">0,59</t>
        </is>
      </c>
      <c r="P143" t="inlineStr">
        <is>
          <t xml:space="preserve">2038096168739</t>
        </is>
      </c>
      <c r="Q143" s="3" t="str">
        <f>HYPERLINK("https://modify.by/img/177619225/1.webp","фото")</f>
        <v>фото</v>
      </c>
      <c r="R143" s="3" t="str">
        <f>HYPERLINK("https://modify.by/catalog/dzhinsy/177619225/?utm_source=price&amp;utm_medium=xlsx","открыть")</f>
        <v>открыть</v>
      </c>
    </row>
    <row r="144">
      <c r="A144" t="inlineStr">
        <is>
          <t xml:space="preserve">Женский</t>
        </is>
      </c>
      <c r="B144" t="inlineStr">
        <is>
          <t xml:space="preserve">Джинсы</t>
        </is>
      </c>
      <c r="C144" t="inlineStr">
        <is>
          <t xml:space="preserve">джинсы мом mom варенки светлые рваные</t>
        </is>
      </c>
      <c r="D144" t="inlineStr">
        <is>
          <t xml:space="preserve">JE32W01Светло-голубой</t>
        </is>
      </c>
      <c r="E144" t="inlineStr">
        <is>
          <t xml:space="preserve">светло-голубой</t>
        </is>
      </c>
      <c r="F144" t="inlineStr">
        <is>
          <t xml:space="preserve">44-46</t>
        </is>
      </c>
      <c r="G144">
        <v>1</v>
      </c>
      <c r="H144" s="2">
        <v>44.0</v>
      </c>
      <c r="I144" t="inlineStr">
        <is>
          <t xml:space="preserve">98% хлопок 2% эластан</t>
        </is>
      </c>
      <c r="J144" t="inlineStr">
        <is>
          <t xml:space="preserve">демисезон</t>
        </is>
      </c>
      <c r="K144" t="inlineStr">
        <is>
          <t xml:space="preserve">Бангладеш</t>
        </is>
      </c>
      <c r="L144" t="inlineStr">
        <is>
          <t xml:space="preserve">6204623100</t>
        </is>
      </c>
      <c r="M144" t="inlineStr">
        <is>
          <t xml:space="preserve">по запросу</t>
        </is>
      </c>
      <c r="N144" t="inlineStr">
        <is>
          <t xml:space="preserve">35 × 28 × 3</t>
        </is>
      </c>
      <c r="O144" t="inlineStr">
        <is>
          <t xml:space="preserve">0,65</t>
        </is>
      </c>
      <c r="P144" t="inlineStr">
        <is>
          <t xml:space="preserve">2026620776710</t>
        </is>
      </c>
      <c r="Q144" s="3" t="str">
        <f>HYPERLINK("https://modify.by/img/149376344/1.webp","фото")</f>
        <v>фото</v>
      </c>
      <c r="R144" s="3" t="str">
        <f>HYPERLINK("https://modify.by/catalog/dzhinsy/149376344/?utm_source=price&amp;utm_medium=xlsx","открыть")</f>
        <v>открыть</v>
      </c>
    </row>
    <row r="145">
      <c r="A145" t="inlineStr">
        <is>
          <t xml:space="preserve">Женский</t>
        </is>
      </c>
      <c r="B145" t="inlineStr">
        <is>
          <t xml:space="preserve">Джинсы</t>
        </is>
      </c>
      <c r="C145" t="inlineStr">
        <is>
          <t xml:space="preserve">джинсы мом mom варенки светлые рваные</t>
        </is>
      </c>
      <c r="D145" t="inlineStr">
        <is>
          <t xml:space="preserve">JE32W01Светло-голубой</t>
        </is>
      </c>
      <c r="E145" t="inlineStr">
        <is>
          <t xml:space="preserve">светло-голубой</t>
        </is>
      </c>
      <c r="F145" t="inlineStr">
        <is>
          <t xml:space="preserve">52-54</t>
        </is>
      </c>
      <c r="G145">
        <v>1</v>
      </c>
      <c r="H145" s="2">
        <v>44.0</v>
      </c>
      <c r="I145" t="inlineStr">
        <is>
          <t xml:space="preserve">98% хлопок 2% эластан</t>
        </is>
      </c>
      <c r="J145" t="inlineStr">
        <is>
          <t xml:space="preserve">демисезон</t>
        </is>
      </c>
      <c r="K145" t="inlineStr">
        <is>
          <t xml:space="preserve">Бангладеш</t>
        </is>
      </c>
      <c r="L145" t="inlineStr">
        <is>
          <t xml:space="preserve">6204623100</t>
        </is>
      </c>
      <c r="M145" t="inlineStr">
        <is>
          <t xml:space="preserve">по запросу</t>
        </is>
      </c>
      <c r="N145" t="inlineStr">
        <is>
          <t xml:space="preserve">35 × 28 × 3</t>
        </is>
      </c>
      <c r="O145" t="inlineStr">
        <is>
          <t xml:space="preserve">0,65</t>
        </is>
      </c>
      <c r="P145" t="inlineStr">
        <is>
          <t xml:space="preserve">2026620776673</t>
        </is>
      </c>
      <c r="Q145" s="3" t="str">
        <f>HYPERLINK("https://modify.by/img/149376344/1.webp","фото")</f>
        <v>фото</v>
      </c>
      <c r="R145" s="3" t="str">
        <f>HYPERLINK("https://modify.by/catalog/dzhinsy/149376344/?utm_source=price&amp;utm_medium=xlsx","открыть")</f>
        <v>открыть</v>
      </c>
    </row>
    <row r="146">
      <c r="A146" t="inlineStr">
        <is>
          <t xml:space="preserve">Женский</t>
        </is>
      </c>
      <c r="B146" t="inlineStr">
        <is>
          <t xml:space="preserve">Джинсы</t>
        </is>
      </c>
      <c r="C146" t="inlineStr">
        <is>
          <t xml:space="preserve">джинсы мом mom варенки серые Турция</t>
        </is>
      </c>
      <c r="D146" t="inlineStr">
        <is>
          <t xml:space="preserve">JE3332M01Графит</t>
        </is>
      </c>
      <c r="E146" t="inlineStr">
        <is>
          <t xml:space="preserve">графит</t>
        </is>
      </c>
      <c r="F146" t="inlineStr">
        <is>
          <t xml:space="preserve">46</t>
        </is>
      </c>
      <c r="G146">
        <v>1</v>
      </c>
      <c r="H146" s="2">
        <v>64.0</v>
      </c>
      <c r="I146" t="inlineStr">
        <is>
          <t xml:space="preserve">хлопок 100%</t>
        </is>
      </c>
      <c r="J146" t="inlineStr">
        <is>
          <t xml:space="preserve">Круглогодичный</t>
        </is>
      </c>
      <c r="K146" t="inlineStr">
        <is>
          <t xml:space="preserve">Турция</t>
        </is>
      </c>
      <c r="L146" t="inlineStr">
        <is>
          <t xml:space="preserve">6204623100</t>
        </is>
      </c>
      <c r="M146" t="inlineStr">
        <is>
          <t xml:space="preserve">по запросу</t>
        </is>
      </c>
      <c r="N146" t="inlineStr">
        <is>
          <t xml:space="preserve">35 × 28 × 3</t>
        </is>
      </c>
      <c r="O146" t="inlineStr">
        <is>
          <t xml:space="preserve">0,58</t>
        </is>
      </c>
      <c r="P146" t="inlineStr">
        <is>
          <t xml:space="preserve">2026620755043</t>
        </is>
      </c>
      <c r="Q146" s="3" t="str">
        <f>HYPERLINK("https://modify.by/img/167700034/1.webp","фото")</f>
        <v>фото</v>
      </c>
      <c r="R146" s="3" t="str">
        <f>HYPERLINK("https://modify.by/catalog/dzhinsy/167700034/?utm_source=price&amp;utm_medium=xlsx","открыть")</f>
        <v>открыть</v>
      </c>
    </row>
    <row r="147">
      <c r="A147" t="inlineStr">
        <is>
          <t xml:space="preserve">Женский</t>
        </is>
      </c>
      <c r="B147" t="inlineStr">
        <is>
          <t xml:space="preserve">Джинсы</t>
        </is>
      </c>
      <c r="C147" t="inlineStr">
        <is>
          <t xml:space="preserve">джинсы прямые классические синие</t>
        </is>
      </c>
      <c r="D147" t="inlineStr">
        <is>
          <t xml:space="preserve">JE3332W042Светло-синий</t>
        </is>
      </c>
      <c r="E147" t="inlineStr">
        <is>
          <t xml:space="preserve">светло-синий</t>
        </is>
      </c>
      <c r="F147" t="inlineStr">
        <is>
          <t xml:space="preserve">40</t>
        </is>
      </c>
      <c r="G147">
        <v>3</v>
      </c>
      <c r="H147" s="2">
        <v>72.0</v>
      </c>
      <c r="I147" t="inlineStr">
        <is>
          <t xml:space="preserve">Хлопок 97% Эластан 3%</t>
        </is>
      </c>
      <c r="J147" t="inlineStr">
        <is>
          <t xml:space="preserve">демисезон, круглогодичный, зима</t>
        </is>
      </c>
      <c r="K147" t="inlineStr">
        <is>
          <t xml:space="preserve">Турция</t>
        </is>
      </c>
      <c r="L147" t="inlineStr">
        <is>
          <t xml:space="preserve">6204623100</t>
        </is>
      </c>
      <c r="M147" t="inlineStr">
        <is>
          <t xml:space="preserve">Декларация № ЕАЭС № BY/112 11.01 ТР017 122.01 08885, до 21.06.2028</t>
        </is>
      </c>
      <c r="N147"/>
      <c r="O147"/>
      <c r="P147" t="inlineStr">
        <is>
          <t xml:space="preserve">2038096170152</t>
        </is>
      </c>
      <c r="Q147" s="3" t="str">
        <f>HYPERLINK("https://modify.by/img/178156932/1.webp","фото")</f>
        <v>фото</v>
      </c>
      <c r="R147" s="3" t="str">
        <f>HYPERLINK("https://modify.by/catalog/dzhinsy/178156932/?utm_source=price&amp;utm_medium=xlsx","открыть")</f>
        <v>открыть</v>
      </c>
    </row>
    <row r="148">
      <c r="A148" t="inlineStr">
        <is>
          <t xml:space="preserve">Женский</t>
        </is>
      </c>
      <c r="B148" t="inlineStr">
        <is>
          <t xml:space="preserve">Джинсы</t>
        </is>
      </c>
      <c r="C148" t="inlineStr">
        <is>
          <t xml:space="preserve">джинсы прямые классические синие</t>
        </is>
      </c>
      <c r="D148" t="inlineStr">
        <is>
          <t xml:space="preserve">JE3332W042Светло-синий</t>
        </is>
      </c>
      <c r="E148" t="inlineStr">
        <is>
          <t xml:space="preserve">светло-синий</t>
        </is>
      </c>
      <c r="F148" t="inlineStr">
        <is>
          <t xml:space="preserve">42</t>
        </is>
      </c>
      <c r="G148">
        <v>2</v>
      </c>
      <c r="H148" s="2">
        <v>72.0</v>
      </c>
      <c r="I148" t="inlineStr">
        <is>
          <t xml:space="preserve">Хлопок 97% Эластан 3%</t>
        </is>
      </c>
      <c r="J148" t="inlineStr">
        <is>
          <t xml:space="preserve">демисезон, круглогодичный, зима</t>
        </is>
      </c>
      <c r="K148" t="inlineStr">
        <is>
          <t xml:space="preserve">Турция</t>
        </is>
      </c>
      <c r="L148" t="inlineStr">
        <is>
          <t xml:space="preserve">6204623100</t>
        </is>
      </c>
      <c r="M148" t="inlineStr">
        <is>
          <t xml:space="preserve">Декларация № ЕАЭС № BY/112 11.01 ТР017 122.01 08885, до 21.06.2028</t>
        </is>
      </c>
      <c r="N148"/>
      <c r="O148"/>
      <c r="P148" t="inlineStr">
        <is>
          <t xml:space="preserve">2038096170169</t>
        </is>
      </c>
      <c r="Q148" s="3" t="str">
        <f>HYPERLINK("https://modify.by/img/178156932/1.webp","фото")</f>
        <v>фото</v>
      </c>
      <c r="R148" s="3" t="str">
        <f>HYPERLINK("https://modify.by/catalog/dzhinsy/178156932/?utm_source=price&amp;utm_medium=xlsx","открыть")</f>
        <v>открыть</v>
      </c>
    </row>
    <row r="149">
      <c r="A149" t="inlineStr">
        <is>
          <t xml:space="preserve">Женский</t>
        </is>
      </c>
      <c r="B149" t="inlineStr">
        <is>
          <t xml:space="preserve">Джинсы</t>
        </is>
      </c>
      <c r="C149" t="inlineStr">
        <is>
          <t xml:space="preserve">джинсы прямые классические синие</t>
        </is>
      </c>
      <c r="D149" t="inlineStr">
        <is>
          <t xml:space="preserve">JE3332W042Светло-синий</t>
        </is>
      </c>
      <c r="E149" t="inlineStr">
        <is>
          <t xml:space="preserve">светло-синий</t>
        </is>
      </c>
      <c r="F149" t="inlineStr">
        <is>
          <t xml:space="preserve">44</t>
        </is>
      </c>
      <c r="G149">
        <v>4</v>
      </c>
      <c r="H149" s="2">
        <v>72.0</v>
      </c>
      <c r="I149" t="inlineStr">
        <is>
          <t xml:space="preserve">Хлопок 97% Эластан 3%</t>
        </is>
      </c>
      <c r="J149" t="inlineStr">
        <is>
          <t xml:space="preserve">демисезон, круглогодичный, зима</t>
        </is>
      </c>
      <c r="K149" t="inlineStr">
        <is>
          <t xml:space="preserve">Турция</t>
        </is>
      </c>
      <c r="L149" t="inlineStr">
        <is>
          <t xml:space="preserve">6204623100</t>
        </is>
      </c>
      <c r="M149" t="inlineStr">
        <is>
          <t xml:space="preserve">Декларация № ЕАЭС № BY/112 11.01 ТР017 122.01 08885, до 21.06.2028</t>
        </is>
      </c>
      <c r="N149"/>
      <c r="O149"/>
      <c r="P149" t="inlineStr">
        <is>
          <t xml:space="preserve">2038096170176</t>
        </is>
      </c>
      <c r="Q149" s="3" t="str">
        <f>HYPERLINK("https://modify.by/img/178156932/1.webp","фото")</f>
        <v>фото</v>
      </c>
      <c r="R149" s="3" t="str">
        <f>HYPERLINK("https://modify.by/catalog/dzhinsy/178156932/?utm_source=price&amp;utm_medium=xlsx","открыть")</f>
        <v>открыть</v>
      </c>
    </row>
    <row r="150">
      <c r="A150" t="inlineStr">
        <is>
          <t xml:space="preserve">Женский</t>
        </is>
      </c>
      <c r="B150" t="inlineStr">
        <is>
          <t xml:space="preserve">Джинсы</t>
        </is>
      </c>
      <c r="C150" t="inlineStr">
        <is>
          <t xml:space="preserve">джинсы прямые классические синие</t>
        </is>
      </c>
      <c r="D150" t="inlineStr">
        <is>
          <t xml:space="preserve">JE3332W042Светло-синий</t>
        </is>
      </c>
      <c r="E150" t="inlineStr">
        <is>
          <t xml:space="preserve">светло-синий</t>
        </is>
      </c>
      <c r="F150" t="inlineStr">
        <is>
          <t xml:space="preserve">46</t>
        </is>
      </c>
      <c r="G150">
        <v>1</v>
      </c>
      <c r="H150" s="2">
        <v>72.0</v>
      </c>
      <c r="I150" t="inlineStr">
        <is>
          <t xml:space="preserve">Хлопок 97% Эластан 3%</t>
        </is>
      </c>
      <c r="J150" t="inlineStr">
        <is>
          <t xml:space="preserve">демисезон, круглогодичный, зима</t>
        </is>
      </c>
      <c r="K150" t="inlineStr">
        <is>
          <t xml:space="preserve">Турция</t>
        </is>
      </c>
      <c r="L150" t="inlineStr">
        <is>
          <t xml:space="preserve">6204623100</t>
        </is>
      </c>
      <c r="M150" t="inlineStr">
        <is>
          <t xml:space="preserve">Декларация № ЕАЭС № BY/112 11.01 ТР017 122.01 08885, до 21.06.2028</t>
        </is>
      </c>
      <c r="N150"/>
      <c r="O150"/>
      <c r="P150" t="inlineStr">
        <is>
          <t xml:space="preserve">2038096170183</t>
        </is>
      </c>
      <c r="Q150" s="3" t="str">
        <f>HYPERLINK("https://modify.by/img/178156932/1.webp","фото")</f>
        <v>фото</v>
      </c>
      <c r="R150" s="3" t="str">
        <f>HYPERLINK("https://modify.by/catalog/dzhinsy/178156932/?utm_source=price&amp;utm_medium=xlsx","открыть")</f>
        <v>открыть</v>
      </c>
    </row>
    <row r="151">
      <c r="A151" t="inlineStr">
        <is>
          <t xml:space="preserve">Женский</t>
        </is>
      </c>
      <c r="B151" t="inlineStr">
        <is>
          <t xml:space="preserve">Джинсы</t>
        </is>
      </c>
      <c r="C151" t="inlineStr">
        <is>
          <t xml:space="preserve">джинсы прямые классические синие</t>
        </is>
      </c>
      <c r="D151" t="inlineStr">
        <is>
          <t xml:space="preserve">JE3332W042Светло-синий</t>
        </is>
      </c>
      <c r="E151" t="inlineStr">
        <is>
          <t xml:space="preserve">светло-синий</t>
        </is>
      </c>
      <c r="F151" t="inlineStr">
        <is>
          <t xml:space="preserve">50</t>
        </is>
      </c>
      <c r="G151">
        <v>1</v>
      </c>
      <c r="H151" s="2">
        <v>72.0</v>
      </c>
      <c r="I151" t="inlineStr">
        <is>
          <t xml:space="preserve">Хлопок 97% Эластан 3%</t>
        </is>
      </c>
      <c r="J151" t="inlineStr">
        <is>
          <t xml:space="preserve">демисезон, круглогодичный, зима</t>
        </is>
      </c>
      <c r="K151" t="inlineStr">
        <is>
          <t xml:space="preserve">Турция</t>
        </is>
      </c>
      <c r="L151" t="inlineStr">
        <is>
          <t xml:space="preserve">6204623100</t>
        </is>
      </c>
      <c r="M151" t="inlineStr">
        <is>
          <t xml:space="preserve">Декларация № ЕАЭС № BY/112 11.01 ТР017 122.01 08885, до 21.06.2028</t>
        </is>
      </c>
      <c r="N151"/>
      <c r="O151"/>
      <c r="P151" t="inlineStr">
        <is>
          <t xml:space="preserve">2038096170206</t>
        </is>
      </c>
      <c r="Q151" s="3" t="str">
        <f>HYPERLINK("https://modify.by/img/178156932/1.webp","фото")</f>
        <v>фото</v>
      </c>
      <c r="R151" s="3" t="str">
        <f>HYPERLINK("https://modify.by/catalog/dzhinsy/178156932/?utm_source=price&amp;utm_medium=xlsx","открыть")</f>
        <v>открыть</v>
      </c>
    </row>
    <row r="152">
      <c r="A152" t="inlineStr">
        <is>
          <t xml:space="preserve">Женский</t>
        </is>
      </c>
      <c r="B152" t="inlineStr">
        <is>
          <t xml:space="preserve">Джинсы</t>
        </is>
      </c>
      <c r="C152" t="inlineStr">
        <is>
          <t xml:space="preserve">джинсы трубы с высокой посадкой бежевые</t>
        </is>
      </c>
      <c r="D152" t="inlineStr">
        <is>
          <t xml:space="preserve">PA3332W02Бежевый</t>
        </is>
      </c>
      <c r="E152" t="inlineStr">
        <is>
          <t xml:space="preserve">бежевый</t>
        </is>
      </c>
      <c r="F152" t="inlineStr">
        <is>
          <t xml:space="preserve">44-46/170</t>
        </is>
      </c>
      <c r="G152">
        <v>1</v>
      </c>
      <c r="H152" s="2">
        <v>77.0</v>
      </c>
      <c r="I152" t="inlineStr">
        <is>
          <t xml:space="preserve">Хлопок 98% эластан 2%</t>
        </is>
      </c>
      <c r="J152" t="inlineStr">
        <is>
          <t xml:space="preserve">демисезон, круглогодичный</t>
        </is>
      </c>
      <c r="K152" t="inlineStr">
        <is>
          <t xml:space="preserve">Турция</t>
        </is>
      </c>
      <c r="L152" t="inlineStr">
        <is>
          <t xml:space="preserve">6204623100</t>
        </is>
      </c>
      <c r="M152" t="inlineStr">
        <is>
          <t xml:space="preserve">Декларация № ЕАЭС № BY/112 11.01 ТР017 122.01 08885, до 21.06.2028</t>
        </is>
      </c>
      <c r="N152"/>
      <c r="O152"/>
      <c r="P152" t="inlineStr">
        <is>
          <t xml:space="preserve">2038096169316</t>
        </is>
      </c>
      <c r="Q152" s="3" t="str">
        <f>HYPERLINK("https://modify.by/img/177633997/1.webp","фото")</f>
        <v>фото</v>
      </c>
      <c r="R152" s="3" t="str">
        <f>HYPERLINK("https://modify.by/catalog/dzhinsy/177633997/?utm_source=price&amp;utm_medium=xlsx","открыть")</f>
        <v>открыть</v>
      </c>
    </row>
    <row r="153">
      <c r="A153" t="inlineStr">
        <is>
          <t xml:space="preserve">Женский</t>
        </is>
      </c>
      <c r="B153" t="inlineStr">
        <is>
          <t xml:space="preserve">Джинсы</t>
        </is>
      </c>
      <c r="C153" t="inlineStr">
        <is>
          <t xml:space="preserve">джинсы трубы с высокой посадкой бежевые</t>
        </is>
      </c>
      <c r="D153" t="inlineStr">
        <is>
          <t xml:space="preserve">PA3332W02Бежевый</t>
        </is>
      </c>
      <c r="E153" t="inlineStr">
        <is>
          <t xml:space="preserve">бежевый</t>
        </is>
      </c>
      <c r="F153" t="inlineStr">
        <is>
          <t xml:space="preserve">46-48/170</t>
        </is>
      </c>
      <c r="G153">
        <v>1</v>
      </c>
      <c r="H153" s="2">
        <v>77.0</v>
      </c>
      <c r="I153" t="inlineStr">
        <is>
          <t xml:space="preserve">Хлопок 98% эластан 2%</t>
        </is>
      </c>
      <c r="J153" t="inlineStr">
        <is>
          <t xml:space="preserve">демисезон, круглогодичный</t>
        </is>
      </c>
      <c r="K153" t="inlineStr">
        <is>
          <t xml:space="preserve">Турция</t>
        </is>
      </c>
      <c r="L153" t="inlineStr">
        <is>
          <t xml:space="preserve">6204623100</t>
        </is>
      </c>
      <c r="M153" t="inlineStr">
        <is>
          <t xml:space="preserve">Декларация № ЕАЭС № BY/112 11.01 ТР017 122.01 08885, до 21.06.2028</t>
        </is>
      </c>
      <c r="N153"/>
      <c r="O153"/>
      <c r="P153" t="inlineStr">
        <is>
          <t xml:space="preserve">2038096169330</t>
        </is>
      </c>
      <c r="Q153" s="3" t="str">
        <f>HYPERLINK("https://modify.by/img/177633997/1.webp","фото")</f>
        <v>фото</v>
      </c>
      <c r="R153" s="3" t="str">
        <f>HYPERLINK("https://modify.by/catalog/dzhinsy/177633997/?utm_source=price&amp;utm_medium=xlsx","открыть")</f>
        <v>открыть</v>
      </c>
    </row>
    <row r="154">
      <c r="A154" t="inlineStr">
        <is>
          <t xml:space="preserve">Женский</t>
        </is>
      </c>
      <c r="B154" t="inlineStr">
        <is>
          <t xml:space="preserve">Жакеты</t>
        </is>
      </c>
      <c r="C154" t="inlineStr">
        <is>
          <t xml:space="preserve">Жакет стеганый на молнии, белый</t>
        </is>
      </c>
      <c r="D154" t="inlineStr">
        <is>
          <t xml:space="preserve">CA62W01белый</t>
        </is>
      </c>
      <c r="E154" t="inlineStr">
        <is>
          <t xml:space="preserve">белый</t>
        </is>
      </c>
      <c r="F154" t="inlineStr">
        <is>
          <t xml:space="preserve">46</t>
        </is>
      </c>
      <c r="G154">
        <v>4</v>
      </c>
      <c r="H154" s="2">
        <v>47.0</v>
      </c>
      <c r="I154" t="inlineStr">
        <is>
          <t xml:space="preserve">25% хлопок, 70% Пээ, 5% эластан</t>
        </is>
      </c>
      <c r="J154" t="inlineStr">
        <is>
          <t xml:space="preserve">демисезон</t>
        </is>
      </c>
      <c r="K154" t="inlineStr">
        <is>
          <t xml:space="preserve">Бангладеш</t>
        </is>
      </c>
      <c r="L154" t="inlineStr">
        <is>
          <t xml:space="preserve">6110309900</t>
        </is>
      </c>
      <c r="M154" t="inlineStr">
        <is>
          <t xml:space="preserve">Декларация № ЕАЭС № BY/112 11.01. ТР017 122.01 08246, до 19.04.2028</t>
        </is>
      </c>
      <c r="N154" t="inlineStr">
        <is>
          <t xml:space="preserve">35 × 30 × 5</t>
        </is>
      </c>
      <c r="O154" t="inlineStr">
        <is>
          <t xml:space="preserve">0,64</t>
        </is>
      </c>
      <c r="P154" t="inlineStr">
        <is>
          <t xml:space="preserve">4816148173669</t>
        </is>
      </c>
      <c r="Q154"/>
      <c r="R154" s="3" t="str">
        <f>HYPERLINK("https://modify.by/catalog/zhakety/695326468/?utm_source=price&amp;utm_medium=xlsx","открыть")</f>
        <v>открыть</v>
      </c>
    </row>
    <row r="155">
      <c r="A155" t="inlineStr">
        <is>
          <t xml:space="preserve">Женский</t>
        </is>
      </c>
      <c r="B155" t="inlineStr">
        <is>
          <t xml:space="preserve">Жакеты</t>
        </is>
      </c>
      <c r="C155" t="inlineStr">
        <is>
          <t xml:space="preserve">Жакет стеганый на молнии, белый</t>
        </is>
      </c>
      <c r="D155" t="inlineStr">
        <is>
          <t xml:space="preserve">CA62W01белый</t>
        </is>
      </c>
      <c r="E155" t="inlineStr">
        <is>
          <t xml:space="preserve">белый</t>
        </is>
      </c>
      <c r="F155" t="inlineStr">
        <is>
          <t xml:space="preserve">48</t>
        </is>
      </c>
      <c r="G155">
        <v>3</v>
      </c>
      <c r="H155" s="2">
        <v>47.0</v>
      </c>
      <c r="I155" t="inlineStr">
        <is>
          <t xml:space="preserve">25% хлопок, 70% Пээ, 5% эластан</t>
        </is>
      </c>
      <c r="J155" t="inlineStr">
        <is>
          <t xml:space="preserve">демисезон</t>
        </is>
      </c>
      <c r="K155" t="inlineStr">
        <is>
          <t xml:space="preserve">Бангладеш</t>
        </is>
      </c>
      <c r="L155" t="inlineStr">
        <is>
          <t xml:space="preserve">6110309900</t>
        </is>
      </c>
      <c r="M155" t="inlineStr">
        <is>
          <t xml:space="preserve">Декларация № ЕАЭС № BY/112 11.01. ТР017 122.01 08246, до 19.04.2028</t>
        </is>
      </c>
      <c r="N155" t="inlineStr">
        <is>
          <t xml:space="preserve">35 × 30 × 5</t>
        </is>
      </c>
      <c r="O155" t="inlineStr">
        <is>
          <t xml:space="preserve">0,64</t>
        </is>
      </c>
      <c r="P155" t="inlineStr">
        <is>
          <t xml:space="preserve">4816148173676</t>
        </is>
      </c>
      <c r="Q155"/>
      <c r="R155" s="3" t="str">
        <f>HYPERLINK("https://modify.by/catalog/zhakety/695326468/?utm_source=price&amp;utm_medium=xlsx","открыть")</f>
        <v>открыть</v>
      </c>
    </row>
    <row r="156">
      <c r="A156" t="inlineStr">
        <is>
          <t xml:space="preserve">Женский</t>
        </is>
      </c>
      <c r="B156" t="inlineStr">
        <is>
          <t xml:space="preserve">Жакеты</t>
        </is>
      </c>
      <c r="C156" t="inlineStr">
        <is>
          <t xml:space="preserve">Жакет стеганый на молнии, белый</t>
        </is>
      </c>
      <c r="D156" t="inlineStr">
        <is>
          <t xml:space="preserve">CA62W01белый</t>
        </is>
      </c>
      <c r="E156" t="inlineStr">
        <is>
          <t xml:space="preserve">белый</t>
        </is>
      </c>
      <c r="F156" t="inlineStr">
        <is>
          <t xml:space="preserve">50</t>
        </is>
      </c>
      <c r="G156">
        <v>6</v>
      </c>
      <c r="H156" s="2">
        <v>47.0</v>
      </c>
      <c r="I156" t="inlineStr">
        <is>
          <t xml:space="preserve">25% хлопок, 70% Пээ, 5% эластан</t>
        </is>
      </c>
      <c r="J156" t="inlineStr">
        <is>
          <t xml:space="preserve">демисезон</t>
        </is>
      </c>
      <c r="K156" t="inlineStr">
        <is>
          <t xml:space="preserve">Бангладеш</t>
        </is>
      </c>
      <c r="L156" t="inlineStr">
        <is>
          <t xml:space="preserve">6110309900</t>
        </is>
      </c>
      <c r="M156" t="inlineStr">
        <is>
          <t xml:space="preserve">Декларация № ЕАЭС № BY/112 11.01. ТР017 122.01 08246, до 19.04.2028</t>
        </is>
      </c>
      <c r="N156" t="inlineStr">
        <is>
          <t xml:space="preserve">35 × 30 × 5</t>
        </is>
      </c>
      <c r="O156" t="inlineStr">
        <is>
          <t xml:space="preserve">0,64</t>
        </is>
      </c>
      <c r="P156" t="inlineStr">
        <is>
          <t xml:space="preserve">4816148173683</t>
        </is>
      </c>
      <c r="Q156"/>
      <c r="R156" s="3" t="str">
        <f>HYPERLINK("https://modify.by/catalog/zhakety/695326468/?utm_source=price&amp;utm_medium=xlsx","открыть")</f>
        <v>открыть</v>
      </c>
    </row>
    <row r="157">
      <c r="A157" t="inlineStr">
        <is>
          <t xml:space="preserve">Женский</t>
        </is>
      </c>
      <c r="B157" t="inlineStr">
        <is>
          <t xml:space="preserve">Жакеты</t>
        </is>
      </c>
      <c r="C157" t="inlineStr">
        <is>
          <t xml:space="preserve">Жакет стеганый на молнии, белый</t>
        </is>
      </c>
      <c r="D157" t="inlineStr">
        <is>
          <t xml:space="preserve">CA62W01белый</t>
        </is>
      </c>
      <c r="E157" t="inlineStr">
        <is>
          <t xml:space="preserve">белый</t>
        </is>
      </c>
      <c r="F157" t="inlineStr">
        <is>
          <t xml:space="preserve">52</t>
        </is>
      </c>
      <c r="G157">
        <v>3</v>
      </c>
      <c r="H157" s="2">
        <v>47.0</v>
      </c>
      <c r="I157" t="inlineStr">
        <is>
          <t xml:space="preserve">25% хлопок, 70% Пээ, 5% эластан</t>
        </is>
      </c>
      <c r="J157" t="inlineStr">
        <is>
          <t xml:space="preserve">демисезон</t>
        </is>
      </c>
      <c r="K157" t="inlineStr">
        <is>
          <t xml:space="preserve">Бангладеш</t>
        </is>
      </c>
      <c r="L157" t="inlineStr">
        <is>
          <t xml:space="preserve">6110309900</t>
        </is>
      </c>
      <c r="M157" t="inlineStr">
        <is>
          <t xml:space="preserve">Декларация № ЕАЭС № BY/112 11.01. ТР017 122.01 08246, до 19.04.2028</t>
        </is>
      </c>
      <c r="N157" t="inlineStr">
        <is>
          <t xml:space="preserve">35 × 30 × 5</t>
        </is>
      </c>
      <c r="O157" t="inlineStr">
        <is>
          <t xml:space="preserve">0,64</t>
        </is>
      </c>
      <c r="P157" t="inlineStr">
        <is>
          <t xml:space="preserve">4816148173690</t>
        </is>
      </c>
      <c r="Q157"/>
      <c r="R157" s="3" t="str">
        <f>HYPERLINK("https://modify.by/catalog/zhakety/695326468/?utm_source=price&amp;utm_medium=xlsx","открыть")</f>
        <v>открыть</v>
      </c>
    </row>
    <row r="158">
      <c r="A158" t="inlineStr">
        <is>
          <t xml:space="preserve">Женский</t>
        </is>
      </c>
      <c r="B158" t="inlineStr">
        <is>
          <t xml:space="preserve">Жакеты</t>
        </is>
      </c>
      <c r="C158" t="inlineStr">
        <is>
          <t xml:space="preserve">Жакет стеганый на молнии, серо-голубой</t>
        </is>
      </c>
      <c r="D158" t="inlineStr">
        <is>
          <t xml:space="preserve">CA62W01голубой</t>
        </is>
      </c>
      <c r="E158" t="inlineStr">
        <is>
          <t xml:space="preserve">серо-голубой</t>
        </is>
      </c>
      <c r="F158" t="inlineStr">
        <is>
          <t xml:space="preserve">56</t>
        </is>
      </c>
      <c r="G158">
        <v>11</v>
      </c>
      <c r="H158" s="2">
        <v>47.0</v>
      </c>
      <c r="I158" t="inlineStr">
        <is>
          <t xml:space="preserve">25% хлопок, 70% Пээ, 5% эластан</t>
        </is>
      </c>
      <c r="J158" t="inlineStr">
        <is>
          <t xml:space="preserve">демисезон</t>
        </is>
      </c>
      <c r="K158" t="inlineStr">
        <is>
          <t xml:space="preserve">Бангладеш</t>
        </is>
      </c>
      <c r="L158" t="inlineStr">
        <is>
          <t xml:space="preserve">6110309900</t>
        </is>
      </c>
      <c r="M158" t="inlineStr">
        <is>
          <t xml:space="preserve">Декларация № ЕАЭС № BY/112 11.01. ТР017 122.01 08246, до 19.04.2028</t>
        </is>
      </c>
      <c r="N158" t="inlineStr">
        <is>
          <t xml:space="preserve">35 × 30 × 5</t>
        </is>
      </c>
      <c r="O158" t="inlineStr">
        <is>
          <t xml:space="preserve">0,64</t>
        </is>
      </c>
      <c r="P158" t="inlineStr">
        <is>
          <t xml:space="preserve">4816148173645</t>
        </is>
      </c>
      <c r="Q158" s="3" t="str">
        <f>HYPERLINK("https://modify.by/img/695326469/1.webp","фото")</f>
        <v>фото</v>
      </c>
      <c r="R158" s="3" t="str">
        <f>HYPERLINK("https://modify.by/catalog/zhakety/695326469/?utm_source=price&amp;utm_medium=xlsx","открыть")</f>
        <v>открыть</v>
      </c>
    </row>
    <row r="159">
      <c r="A159" t="inlineStr">
        <is>
          <t xml:space="preserve">Женский</t>
        </is>
      </c>
      <c r="B159" t="inlineStr">
        <is>
          <t xml:space="preserve">Жакеты</t>
        </is>
      </c>
      <c r="C159" t="inlineStr">
        <is>
          <t xml:space="preserve">Жакет стеганый на молнии, серо-голубой</t>
        </is>
      </c>
      <c r="D159" t="inlineStr">
        <is>
          <t xml:space="preserve">CA62W01голубой</t>
        </is>
      </c>
      <c r="E159" t="inlineStr">
        <is>
          <t xml:space="preserve">серо-голубой</t>
        </is>
      </c>
      <c r="F159" t="inlineStr">
        <is>
          <t xml:space="preserve">58</t>
        </is>
      </c>
      <c r="G159">
        <v>14</v>
      </c>
      <c r="H159" s="2">
        <v>47.0</v>
      </c>
      <c r="I159" t="inlineStr">
        <is>
          <t xml:space="preserve">25% хлопок, 70% Пээ, 5% эластан</t>
        </is>
      </c>
      <c r="J159" t="inlineStr">
        <is>
          <t xml:space="preserve">демисезон</t>
        </is>
      </c>
      <c r="K159" t="inlineStr">
        <is>
          <t xml:space="preserve">Бангладеш</t>
        </is>
      </c>
      <c r="L159" t="inlineStr">
        <is>
          <t xml:space="preserve">6110309900</t>
        </is>
      </c>
      <c r="M159" t="inlineStr">
        <is>
          <t xml:space="preserve">Декларация № ЕАЭС № BY/112 11.01. ТР017 122.01 08246, до 19.04.2028</t>
        </is>
      </c>
      <c r="N159" t="inlineStr">
        <is>
          <t xml:space="preserve">35 × 30 × 5</t>
        </is>
      </c>
      <c r="O159" t="inlineStr">
        <is>
          <t xml:space="preserve">0,64</t>
        </is>
      </c>
      <c r="P159" t="inlineStr">
        <is>
          <t xml:space="preserve">4816148173652</t>
        </is>
      </c>
      <c r="Q159" s="3" t="str">
        <f>HYPERLINK("https://modify.by/img/695326469/1.webp","фото")</f>
        <v>фото</v>
      </c>
      <c r="R159" s="3" t="str">
        <f>HYPERLINK("https://modify.by/catalog/zhakety/695326469/?utm_source=price&amp;utm_medium=xlsx","открыть")</f>
        <v>открыть</v>
      </c>
    </row>
    <row r="160">
      <c r="A160" t="inlineStr">
        <is>
          <t xml:space="preserve">Женский</t>
        </is>
      </c>
      <c r="B160" t="inlineStr">
        <is>
          <t xml:space="preserve">Жилеты</t>
        </is>
      </c>
      <c r="C160" t="inlineStr">
        <is>
          <t xml:space="preserve">Жилет утепленный на молнии с капюшоном</t>
        </is>
      </c>
      <c r="D160" t="inlineStr">
        <is>
          <t xml:space="preserve">T3PJ52W04бежевый</t>
        </is>
      </c>
      <c r="E160" t="inlineStr">
        <is>
          <t xml:space="preserve">светло-бежевый, серый</t>
        </is>
      </c>
      <c r="F160" t="inlineStr">
        <is>
          <t xml:space="preserve">44</t>
        </is>
      </c>
      <c r="G160">
        <v>1</v>
      </c>
      <c r="H160" s="2">
        <v>69.0</v>
      </c>
      <c r="I160" t="inlineStr">
        <is>
          <t xml:space="preserve">пэ, хлопок</t>
        </is>
      </c>
      <c r="J160"/>
      <c r="K160" t="inlineStr">
        <is>
          <t xml:space="preserve">Китай</t>
        </is>
      </c>
      <c r="L160" t="inlineStr">
        <is>
          <t xml:space="preserve">6202400009</t>
        </is>
      </c>
      <c r="M160" t="inlineStr">
        <is>
          <t xml:space="preserve">Декларация № ЕАЭС N RU Д-CN.РА02.В.44060/24, до 28.02.2029</t>
        </is>
      </c>
      <c r="N160" t="inlineStr">
        <is>
          <t xml:space="preserve">43 × 33 × 4</t>
        </is>
      </c>
      <c r="O160" t="inlineStr">
        <is>
          <t xml:space="preserve">0,56</t>
        </is>
      </c>
      <c r="P160" t="inlineStr">
        <is>
          <t xml:space="preserve">4816148163240</t>
        </is>
      </c>
      <c r="Q160" s="3" t="str">
        <f>HYPERLINK("https://modify.by/img/531259188/1.webp","фото")</f>
        <v>фото</v>
      </c>
      <c r="R160" s="3" t="str">
        <f>HYPERLINK("https://modify.by/catalog/zhilety/531259188/?utm_source=price&amp;utm_medium=xlsx","открыть")</f>
        <v>открыть</v>
      </c>
    </row>
    <row r="161">
      <c r="A161" t="inlineStr">
        <is>
          <t xml:space="preserve">Женский</t>
        </is>
      </c>
      <c r="B161" t="inlineStr">
        <is>
          <t xml:space="preserve">Жилеты</t>
        </is>
      </c>
      <c r="C161" t="inlineStr">
        <is>
          <t xml:space="preserve">Жилет утепленный на молнии с капюшоном</t>
        </is>
      </c>
      <c r="D161" t="inlineStr">
        <is>
          <t xml:space="preserve">T3PJ52W04бежевый</t>
        </is>
      </c>
      <c r="E161" t="inlineStr">
        <is>
          <t xml:space="preserve">светло-бежевый, серый</t>
        </is>
      </c>
      <c r="F161" t="inlineStr">
        <is>
          <t xml:space="preserve">46</t>
        </is>
      </c>
      <c r="G161">
        <v>1</v>
      </c>
      <c r="H161" s="2">
        <v>69.0</v>
      </c>
      <c r="I161" t="inlineStr">
        <is>
          <t xml:space="preserve">пэ, хлопок</t>
        </is>
      </c>
      <c r="J161"/>
      <c r="K161" t="inlineStr">
        <is>
          <t xml:space="preserve">Китай</t>
        </is>
      </c>
      <c r="L161" t="inlineStr">
        <is>
          <t xml:space="preserve">6202400009</t>
        </is>
      </c>
      <c r="M161" t="inlineStr">
        <is>
          <t xml:space="preserve">Декларация № ЕАЭС N RU Д-CN.РА02.В.44060/24, до 28.02.2029</t>
        </is>
      </c>
      <c r="N161" t="inlineStr">
        <is>
          <t xml:space="preserve">43 × 33 × 4</t>
        </is>
      </c>
      <c r="O161" t="inlineStr">
        <is>
          <t xml:space="preserve">0,56</t>
        </is>
      </c>
      <c r="P161" t="inlineStr">
        <is>
          <t xml:space="preserve">4816148163257</t>
        </is>
      </c>
      <c r="Q161" s="3" t="str">
        <f>HYPERLINK("https://modify.by/img/531259188/1.webp","фото")</f>
        <v>фото</v>
      </c>
      <c r="R161" s="3" t="str">
        <f>HYPERLINK("https://modify.by/catalog/zhilety/531259188/?utm_source=price&amp;utm_medium=xlsx","открыть")</f>
        <v>открыть</v>
      </c>
    </row>
    <row r="162">
      <c r="A162" t="inlineStr">
        <is>
          <t xml:space="preserve">Женский</t>
        </is>
      </c>
      <c r="B162" t="inlineStr">
        <is>
          <t xml:space="preserve">Кардиганы</t>
        </is>
      </c>
      <c r="C162" t="inlineStr">
        <is>
          <t xml:space="preserve">Джемпер кардиган на пуговицах</t>
        </is>
      </c>
      <c r="D162" t="inlineStr">
        <is>
          <t xml:space="preserve">SW22W15Оранжевый</t>
        </is>
      </c>
      <c r="E162" t="inlineStr">
        <is>
          <t xml:space="preserve">оранжевый</t>
        </is>
      </c>
      <c r="F162" t="inlineStr">
        <is>
          <t xml:space="preserve">52/170</t>
        </is>
      </c>
      <c r="G162">
        <v>1</v>
      </c>
      <c r="H162" s="2">
        <v>21.0</v>
      </c>
      <c r="I162" t="inlineStr">
        <is>
          <t xml:space="preserve">100% хлопок</t>
        </is>
      </c>
      <c r="J162"/>
      <c r="K162" t="inlineStr">
        <is>
          <t xml:space="preserve">Бангладеш</t>
        </is>
      </c>
      <c r="L162" t="inlineStr">
        <is>
          <t xml:space="preserve">6110209900</t>
        </is>
      </c>
      <c r="M162" t="inlineStr">
        <is>
          <t xml:space="preserve">Декларация № ЕАЭС № BY/112 11.01. ТР017 122.01 08246, до 19.04.2028</t>
        </is>
      </c>
      <c r="N162" t="inlineStr">
        <is>
          <t xml:space="preserve">35 × 30 × 4</t>
        </is>
      </c>
      <c r="O162" t="inlineStr">
        <is>
          <t xml:space="preserve">0,5</t>
        </is>
      </c>
      <c r="P162" t="inlineStr">
        <is>
          <t xml:space="preserve">2026620786764</t>
        </is>
      </c>
      <c r="Q162" s="3" t="str">
        <f>HYPERLINK("https://modify.by/img/143421420/1.webp","фото")</f>
        <v>фото</v>
      </c>
      <c r="R162" s="3" t="str">
        <f>HYPERLINK("https://modify.by/catalog/kardigany/143421420/?utm_source=price&amp;utm_medium=xlsx","открыть")</f>
        <v>открыть</v>
      </c>
    </row>
    <row r="163">
      <c r="A163" t="inlineStr">
        <is>
          <t xml:space="preserve">Женский</t>
        </is>
      </c>
      <c r="B163" t="inlineStr">
        <is>
          <t xml:space="preserve">Кардиганы</t>
        </is>
      </c>
      <c r="C163" t="inlineStr">
        <is>
          <t xml:space="preserve">Кардиган ажурной вязки укороченный свободный</t>
        </is>
      </c>
      <c r="D163" t="inlineStr">
        <is>
          <t xml:space="preserve">SW52W02сиреневый</t>
        </is>
      </c>
      <c r="E163" t="inlineStr">
        <is>
          <t xml:space="preserve">сиреневый, лавандовый</t>
        </is>
      </c>
      <c r="F163" t="inlineStr">
        <is>
          <t xml:space="preserve">42</t>
        </is>
      </c>
      <c r="G163">
        <v>9</v>
      </c>
      <c r="H163" s="2">
        <v>40.0</v>
      </c>
      <c r="I163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163"/>
      <c r="K163" t="inlineStr">
        <is>
          <t xml:space="preserve">Бангладеш</t>
        </is>
      </c>
      <c r="L163" t="inlineStr">
        <is>
          <t xml:space="preserve">6110309900</t>
        </is>
      </c>
      <c r="M163" t="inlineStr">
        <is>
          <t xml:space="preserve">Декларация № ЕАЭС № BY/112 11.01. ТР017 122.01 08246, до 19.04.2028</t>
        </is>
      </c>
      <c r="N163" t="inlineStr">
        <is>
          <t xml:space="preserve">33 × 28 × 4</t>
        </is>
      </c>
      <c r="O163" t="inlineStr">
        <is>
          <t xml:space="preserve">0,6</t>
        </is>
      </c>
      <c r="P163" t="inlineStr">
        <is>
          <t xml:space="preserve">4816148164452</t>
        </is>
      </c>
      <c r="Q163" s="3" t="str">
        <f>HYPERLINK("https://modify.by/img/358528924/1.webp","фото")</f>
        <v>фото</v>
      </c>
      <c r="R163" s="3" t="str">
        <f>HYPERLINK("https://modify.by/catalog/kardigany/358528924/?utm_source=price&amp;utm_medium=xlsx","открыть")</f>
        <v>открыть</v>
      </c>
    </row>
    <row r="164">
      <c r="A164" t="inlineStr">
        <is>
          <t xml:space="preserve">Женский</t>
        </is>
      </c>
      <c r="B164" t="inlineStr">
        <is>
          <t xml:space="preserve">Кардиганы</t>
        </is>
      </c>
      <c r="C164" t="inlineStr">
        <is>
          <t xml:space="preserve">Кардиган ажурной вязки укороченный свободный</t>
        </is>
      </c>
      <c r="D164" t="inlineStr">
        <is>
          <t xml:space="preserve">SW52W02сиреневый</t>
        </is>
      </c>
      <c r="E164" t="inlineStr">
        <is>
          <t xml:space="preserve">сиреневый, лавандовый</t>
        </is>
      </c>
      <c r="F164" t="inlineStr">
        <is>
          <t xml:space="preserve">44</t>
        </is>
      </c>
      <c r="G164">
        <v>26</v>
      </c>
      <c r="H164" s="2">
        <v>40.0</v>
      </c>
      <c r="I164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164"/>
      <c r="K164" t="inlineStr">
        <is>
          <t xml:space="preserve">Бангладеш</t>
        </is>
      </c>
      <c r="L164" t="inlineStr">
        <is>
          <t xml:space="preserve">6110309900</t>
        </is>
      </c>
      <c r="M164" t="inlineStr">
        <is>
          <t xml:space="preserve">Декларация № ЕАЭС № BY/112 11.01. ТР017 122.01 08246, до 19.04.2028</t>
        </is>
      </c>
      <c r="N164" t="inlineStr">
        <is>
          <t xml:space="preserve">33 × 28 × 4</t>
        </is>
      </c>
      <c r="O164" t="inlineStr">
        <is>
          <t xml:space="preserve">0,6</t>
        </is>
      </c>
      <c r="P164" t="inlineStr">
        <is>
          <t xml:space="preserve">4816148163639</t>
        </is>
      </c>
      <c r="Q164" s="3" t="str">
        <f>HYPERLINK("https://modify.by/img/358528924/1.webp","фото")</f>
        <v>фото</v>
      </c>
      <c r="R164" s="3" t="str">
        <f>HYPERLINK("https://modify.by/catalog/kardigany/358528924/?utm_source=price&amp;utm_medium=xlsx","открыть")</f>
        <v>открыть</v>
      </c>
    </row>
    <row r="165">
      <c r="A165" t="inlineStr">
        <is>
          <t xml:space="preserve">Женский</t>
        </is>
      </c>
      <c r="B165" t="inlineStr">
        <is>
          <t xml:space="preserve">Кардиганы</t>
        </is>
      </c>
      <c r="C165" t="inlineStr">
        <is>
          <t xml:space="preserve">Кардиган ажурной вязки укороченный свободный</t>
        </is>
      </c>
      <c r="D165" t="inlineStr">
        <is>
          <t xml:space="preserve">SW52W02сиреневый</t>
        </is>
      </c>
      <c r="E165" t="inlineStr">
        <is>
          <t xml:space="preserve">сиреневый, лавандовый</t>
        </is>
      </c>
      <c r="F165" t="inlineStr">
        <is>
          <t xml:space="preserve">46</t>
        </is>
      </c>
      <c r="G165">
        <v>41</v>
      </c>
      <c r="H165" s="2">
        <v>40.0</v>
      </c>
      <c r="I165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165"/>
      <c r="K165" t="inlineStr">
        <is>
          <t xml:space="preserve">Бангладеш</t>
        </is>
      </c>
      <c r="L165" t="inlineStr">
        <is>
          <t xml:space="preserve">6110309900</t>
        </is>
      </c>
      <c r="M165" t="inlineStr">
        <is>
          <t xml:space="preserve">Декларация № ЕАЭС № BY/112 11.01. ТР017 122.01 08246, до 19.04.2028</t>
        </is>
      </c>
      <c r="N165" t="inlineStr">
        <is>
          <t xml:space="preserve">33 × 28 × 4</t>
        </is>
      </c>
      <c r="O165" t="inlineStr">
        <is>
          <t xml:space="preserve">0,6</t>
        </is>
      </c>
      <c r="P165" t="inlineStr">
        <is>
          <t xml:space="preserve">4816148163646</t>
        </is>
      </c>
      <c r="Q165" s="3" t="str">
        <f>HYPERLINK("https://modify.by/img/358528924/1.webp","фото")</f>
        <v>фото</v>
      </c>
      <c r="R165" s="3" t="str">
        <f>HYPERLINK("https://modify.by/catalog/kardigany/358528924/?utm_source=price&amp;utm_medium=xlsx","открыть")</f>
        <v>открыть</v>
      </c>
    </row>
    <row r="166">
      <c r="A166" t="inlineStr">
        <is>
          <t xml:space="preserve">Женский</t>
        </is>
      </c>
      <c r="B166" t="inlineStr">
        <is>
          <t xml:space="preserve">Кардиганы</t>
        </is>
      </c>
      <c r="C166" t="inlineStr">
        <is>
          <t xml:space="preserve">Кардиган ажурной вязки укороченный свободный</t>
        </is>
      </c>
      <c r="D166" t="inlineStr">
        <is>
          <t xml:space="preserve">SW52W02сиреневый</t>
        </is>
      </c>
      <c r="E166" t="inlineStr">
        <is>
          <t xml:space="preserve">сиреневый, лавандовый</t>
        </is>
      </c>
      <c r="F166" t="inlineStr">
        <is>
          <t xml:space="preserve">48</t>
        </is>
      </c>
      <c r="G166">
        <v>29</v>
      </c>
      <c r="H166" s="2">
        <v>40.0</v>
      </c>
      <c r="I166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166"/>
      <c r="K166" t="inlineStr">
        <is>
          <t xml:space="preserve">Бангладеш</t>
        </is>
      </c>
      <c r="L166" t="inlineStr">
        <is>
          <t xml:space="preserve">6110309900</t>
        </is>
      </c>
      <c r="M166" t="inlineStr">
        <is>
          <t xml:space="preserve">Декларация № ЕАЭС № BY/112 11.01. ТР017 122.01 08246, до 19.04.2028</t>
        </is>
      </c>
      <c r="N166" t="inlineStr">
        <is>
          <t xml:space="preserve">33 × 28 × 4</t>
        </is>
      </c>
      <c r="O166" t="inlineStr">
        <is>
          <t xml:space="preserve">0,6</t>
        </is>
      </c>
      <c r="P166" t="inlineStr">
        <is>
          <t xml:space="preserve">4816148163653</t>
        </is>
      </c>
      <c r="Q166" s="3" t="str">
        <f>HYPERLINK("https://modify.by/img/358528924/1.webp","фото")</f>
        <v>фото</v>
      </c>
      <c r="R166" s="3" t="str">
        <f>HYPERLINK("https://modify.by/catalog/kardigany/358528924/?utm_source=price&amp;utm_medium=xlsx","открыть")</f>
        <v>открыть</v>
      </c>
    </row>
    <row r="167">
      <c r="A167" t="inlineStr">
        <is>
          <t xml:space="preserve">Женский</t>
        </is>
      </c>
      <c r="B167" t="inlineStr">
        <is>
          <t xml:space="preserve">Кардиганы</t>
        </is>
      </c>
      <c r="C167" t="inlineStr">
        <is>
          <t xml:space="preserve">Кардиган теплый вязаный удлиненный, розово-коричневый</t>
        </is>
      </c>
      <c r="D167" t="inlineStr">
        <is>
          <t xml:space="preserve">CA62W02темно-розовый</t>
        </is>
      </c>
      <c r="E167" t="inlineStr">
        <is>
          <t xml:space="preserve">розово-коричневый, пыльная роза</t>
        </is>
      </c>
      <c r="F167" t="inlineStr">
        <is>
          <t xml:space="preserve">42</t>
        </is>
      </c>
      <c r="G167">
        <v>42</v>
      </c>
      <c r="H167" s="2">
        <v>29.0</v>
      </c>
      <c r="I167" t="inlineStr">
        <is>
          <t xml:space="preserve">вискоза 50%, ПЭ 27%, нейлон 23%</t>
        </is>
      </c>
      <c r="J167"/>
      <c r="K167"/>
      <c r="L167" t="inlineStr">
        <is>
          <t xml:space="preserve">6110309900</t>
        </is>
      </c>
      <c r="M167" t="inlineStr">
        <is>
          <t xml:space="preserve">Декларация № ЕАЭС № BY/112 11.01. ТР017 122.01 08246, до 19.04.2028</t>
        </is>
      </c>
      <c r="N167" t="inlineStr">
        <is>
          <t xml:space="preserve">33 × 30 × 3</t>
        </is>
      </c>
      <c r="O167" t="inlineStr">
        <is>
          <t xml:space="preserve">0,37</t>
        </is>
      </c>
      <c r="P167" t="inlineStr">
        <is>
          <t xml:space="preserve">4816148172860</t>
        </is>
      </c>
      <c r="Q167" s="3" t="str">
        <f>HYPERLINK("https://modify.by/img/663962171/1.webp","фото")</f>
        <v>фото</v>
      </c>
      <c r="R167" s="3" t="str">
        <f>HYPERLINK("https://modify.by/catalog/kardigany/663962171/?utm_source=price&amp;utm_medium=xlsx","открыть")</f>
        <v>открыть</v>
      </c>
    </row>
    <row r="168">
      <c r="A168" t="inlineStr">
        <is>
          <t xml:space="preserve">Женский</t>
        </is>
      </c>
      <c r="B168" t="inlineStr">
        <is>
          <t xml:space="preserve">Кардиганы</t>
        </is>
      </c>
      <c r="C168" t="inlineStr">
        <is>
          <t xml:space="preserve">Кардиган теплый вязаный удлиненный, розово-коричневый</t>
        </is>
      </c>
      <c r="D168" t="inlineStr">
        <is>
          <t xml:space="preserve">CA62W02темно-розовый</t>
        </is>
      </c>
      <c r="E168" t="inlineStr">
        <is>
          <t xml:space="preserve">розово-коричневый, пыльная роза</t>
        </is>
      </c>
      <c r="F168" t="inlineStr">
        <is>
          <t xml:space="preserve">44</t>
        </is>
      </c>
      <c r="G168">
        <v>33</v>
      </c>
      <c r="H168" s="2">
        <v>29.0</v>
      </c>
      <c r="I168" t="inlineStr">
        <is>
          <t xml:space="preserve">вискоза 50%, ПЭ 27%, нейлон 23%</t>
        </is>
      </c>
      <c r="J168"/>
      <c r="K168"/>
      <c r="L168" t="inlineStr">
        <is>
          <t xml:space="preserve">6110309900</t>
        </is>
      </c>
      <c r="M168" t="inlineStr">
        <is>
          <t xml:space="preserve">Декларация № ЕАЭС № BY/112 11.01. ТР017 122.01 08246, до 19.04.2028</t>
        </is>
      </c>
      <c r="N168" t="inlineStr">
        <is>
          <t xml:space="preserve">33 × 30 × 3</t>
        </is>
      </c>
      <c r="O168" t="inlineStr">
        <is>
          <t xml:space="preserve">0,37</t>
        </is>
      </c>
      <c r="P168" t="inlineStr">
        <is>
          <t xml:space="preserve">4816148172877</t>
        </is>
      </c>
      <c r="Q168" s="3" t="str">
        <f>HYPERLINK("https://modify.by/img/663962171/1.webp","фото")</f>
        <v>фото</v>
      </c>
      <c r="R168" s="3" t="str">
        <f>HYPERLINK("https://modify.by/catalog/kardigany/663962171/?utm_source=price&amp;utm_medium=xlsx","открыть")</f>
        <v>открыть</v>
      </c>
    </row>
    <row r="169">
      <c r="A169" t="inlineStr">
        <is>
          <t xml:space="preserve">Женский</t>
        </is>
      </c>
      <c r="B169" t="inlineStr">
        <is>
          <t xml:space="preserve">Кардиганы</t>
        </is>
      </c>
      <c r="C169" t="inlineStr">
        <is>
          <t xml:space="preserve">Кардиган теплый вязаный удлиненный, светло-зеленый</t>
        </is>
      </c>
      <c r="D169" t="inlineStr">
        <is>
          <t xml:space="preserve">CA62W02зеленый</t>
        </is>
      </c>
      <c r="E169" t="inlineStr">
        <is>
          <t xml:space="preserve">светло-зеленый, мятный</t>
        </is>
      </c>
      <c r="F169" t="inlineStr">
        <is>
          <t xml:space="preserve">42</t>
        </is>
      </c>
      <c r="G169">
        <v>104</v>
      </c>
      <c r="H169" s="2">
        <v>29.0</v>
      </c>
      <c r="I169" t="inlineStr">
        <is>
          <t xml:space="preserve">вискоза 50%, ПЭ 27%, нейлон 23%</t>
        </is>
      </c>
      <c r="J169"/>
      <c r="K169"/>
      <c r="L169" t="inlineStr">
        <is>
          <t xml:space="preserve">6110309900</t>
        </is>
      </c>
      <c r="M169" t="inlineStr">
        <is>
          <t xml:space="preserve">Декларация № ЕАЭС № BY/112 11.01. ТР017 122.01 08246, до 19.04.2028</t>
        </is>
      </c>
      <c r="N169" t="inlineStr">
        <is>
          <t xml:space="preserve">33 × 30 × 3</t>
        </is>
      </c>
      <c r="O169" t="inlineStr">
        <is>
          <t xml:space="preserve">0,37</t>
        </is>
      </c>
      <c r="P169" t="inlineStr">
        <is>
          <t xml:space="preserve">4816148172761</t>
        </is>
      </c>
      <c r="Q169" s="3" t="str">
        <f>HYPERLINK("https://modify.by/img/668739383/1.webp","фото")</f>
        <v>фото</v>
      </c>
      <c r="R169" s="3" t="str">
        <f>HYPERLINK("https://modify.by/catalog/kardigany/668739383/?utm_source=price&amp;utm_medium=xlsx","открыть")</f>
        <v>открыть</v>
      </c>
    </row>
    <row r="170">
      <c r="A170" t="inlineStr">
        <is>
          <t xml:space="preserve">Женский</t>
        </is>
      </c>
      <c r="B170" t="inlineStr">
        <is>
          <t xml:space="preserve">Кардиганы</t>
        </is>
      </c>
      <c r="C170" t="inlineStr">
        <is>
          <t xml:space="preserve">Кардиган теплый вязаный удлиненный, светло-зеленый</t>
        </is>
      </c>
      <c r="D170" t="inlineStr">
        <is>
          <t xml:space="preserve">CA62W02зеленый</t>
        </is>
      </c>
      <c r="E170" t="inlineStr">
        <is>
          <t xml:space="preserve">светло-зеленый, мятный</t>
        </is>
      </c>
      <c r="F170" t="inlineStr">
        <is>
          <t xml:space="preserve">44</t>
        </is>
      </c>
      <c r="G170">
        <v>28</v>
      </c>
      <c r="H170" s="2">
        <v>29.0</v>
      </c>
      <c r="I170" t="inlineStr">
        <is>
          <t xml:space="preserve">вискоза 50%, ПЭ 27%, нейлон 23%</t>
        </is>
      </c>
      <c r="J170"/>
      <c r="K170"/>
      <c r="L170" t="inlineStr">
        <is>
          <t xml:space="preserve">6110309900</t>
        </is>
      </c>
      <c r="M170" t="inlineStr">
        <is>
          <t xml:space="preserve">Декларация № ЕАЭС № BY/112 11.01. ТР017 122.01 08246, до 19.04.2028</t>
        </is>
      </c>
      <c r="N170" t="inlineStr">
        <is>
          <t xml:space="preserve">33 × 30 × 3</t>
        </is>
      </c>
      <c r="O170" t="inlineStr">
        <is>
          <t xml:space="preserve">0,37</t>
        </is>
      </c>
      <c r="P170" t="inlineStr">
        <is>
          <t xml:space="preserve">4816148172778</t>
        </is>
      </c>
      <c r="Q170" s="3" t="str">
        <f>HYPERLINK("https://modify.by/img/668739383/1.webp","фото")</f>
        <v>фото</v>
      </c>
      <c r="R170" s="3" t="str">
        <f>HYPERLINK("https://modify.by/catalog/kardigany/668739383/?utm_source=price&amp;utm_medium=xlsx","открыть")</f>
        <v>открыть</v>
      </c>
    </row>
    <row r="171">
      <c r="A171" t="inlineStr">
        <is>
          <t xml:space="preserve">Женский</t>
        </is>
      </c>
      <c r="B171" t="inlineStr">
        <is>
          <t xml:space="preserve">Кардиганы</t>
        </is>
      </c>
      <c r="C171" t="inlineStr">
        <is>
          <t xml:space="preserve">Кардиган теплый вязаный удлиненный, серый меланж</t>
        </is>
      </c>
      <c r="D171" t="inlineStr">
        <is>
          <t xml:space="preserve">CA62W02серый,черный</t>
        </is>
      </c>
      <c r="E171" t="inlineStr">
        <is>
          <t xml:space="preserve">серый меланж, черный</t>
        </is>
      </c>
      <c r="F171" t="inlineStr">
        <is>
          <t xml:space="preserve">40</t>
        </is>
      </c>
      <c r="G171">
        <v>5</v>
      </c>
      <c r="H171" s="2">
        <v>29.0</v>
      </c>
      <c r="I171" t="inlineStr">
        <is>
          <t xml:space="preserve">вискоза 50%, ПЭ 27%, нейлон 23%</t>
        </is>
      </c>
      <c r="J171"/>
      <c r="K171"/>
      <c r="L171" t="inlineStr">
        <is>
          <t xml:space="preserve">6110309900</t>
        </is>
      </c>
      <c r="M171" t="inlineStr">
        <is>
          <t xml:space="preserve">Декларация № ЕАЭС № BY/112 11.01. ТР017 122.01 08246, до 19.04.2028</t>
        </is>
      </c>
      <c r="N171" t="inlineStr">
        <is>
          <t xml:space="preserve">33 × 30 × 3</t>
        </is>
      </c>
      <c r="O171" t="inlineStr">
        <is>
          <t xml:space="preserve">0,37</t>
        </is>
      </c>
      <c r="P171" t="inlineStr">
        <is>
          <t xml:space="preserve">4816148173720</t>
        </is>
      </c>
      <c r="Q171" s="3" t="str">
        <f>HYPERLINK("https://modify.by/img/664787771/1.webp","фото")</f>
        <v>фото</v>
      </c>
      <c r="R171" s="3" t="str">
        <f>HYPERLINK("https://modify.by/catalog/kardigany/664787771/?utm_source=price&amp;utm_medium=xlsx","открыть")</f>
        <v>открыть</v>
      </c>
    </row>
    <row r="172">
      <c r="A172" t="inlineStr">
        <is>
          <t xml:space="preserve">Женский</t>
        </is>
      </c>
      <c r="B172" t="inlineStr">
        <is>
          <t xml:space="preserve">Кардиганы</t>
        </is>
      </c>
      <c r="C172" t="inlineStr">
        <is>
          <t xml:space="preserve">Кардиган теплый вязаный удлиненный, серый меланж</t>
        </is>
      </c>
      <c r="D172" t="inlineStr">
        <is>
          <t xml:space="preserve">CA62W02серый,черный</t>
        </is>
      </c>
      <c r="E172" t="inlineStr">
        <is>
          <t xml:space="preserve">серый меланж, черный</t>
        </is>
      </c>
      <c r="F172" t="inlineStr">
        <is>
          <t xml:space="preserve">42</t>
        </is>
      </c>
      <c r="G172">
        <v>24</v>
      </c>
      <c r="H172" s="2">
        <v>29.0</v>
      </c>
      <c r="I172" t="inlineStr">
        <is>
          <t xml:space="preserve">вискоза 50%, ПЭ 27%, нейлон 23%</t>
        </is>
      </c>
      <c r="J172"/>
      <c r="K172"/>
      <c r="L172" t="inlineStr">
        <is>
          <t xml:space="preserve">6110309900</t>
        </is>
      </c>
      <c r="M172" t="inlineStr">
        <is>
          <t xml:space="preserve">Декларация № ЕАЭС № BY/112 11.01. ТР017 122.01 08246, до 19.04.2028</t>
        </is>
      </c>
      <c r="N172" t="inlineStr">
        <is>
          <t xml:space="preserve">33 × 30 × 3</t>
        </is>
      </c>
      <c r="O172" t="inlineStr">
        <is>
          <t xml:space="preserve">0,37</t>
        </is>
      </c>
      <c r="P172" t="inlineStr">
        <is>
          <t xml:space="preserve">4816148172914</t>
        </is>
      </c>
      <c r="Q172" s="3" t="str">
        <f>HYPERLINK("https://modify.by/img/664787771/1.webp","фото")</f>
        <v>фото</v>
      </c>
      <c r="R172" s="3" t="str">
        <f>HYPERLINK("https://modify.by/catalog/kardigany/664787771/?utm_source=price&amp;utm_medium=xlsx","открыть")</f>
        <v>открыть</v>
      </c>
    </row>
    <row r="173">
      <c r="A173" t="inlineStr">
        <is>
          <t xml:space="preserve">Женский</t>
        </is>
      </c>
      <c r="B173" t="inlineStr">
        <is>
          <t xml:space="preserve">Кардиганы</t>
        </is>
      </c>
      <c r="C173" t="inlineStr">
        <is>
          <t xml:space="preserve">Кардиган теплый вязаный удлиненный, серый меланж</t>
        </is>
      </c>
      <c r="D173" t="inlineStr">
        <is>
          <t xml:space="preserve">CA62W02серый,черный</t>
        </is>
      </c>
      <c r="E173" t="inlineStr">
        <is>
          <t xml:space="preserve">серый меланж, черный</t>
        </is>
      </c>
      <c r="F173" t="inlineStr">
        <is>
          <t xml:space="preserve">44</t>
        </is>
      </c>
      <c r="G173">
        <v>26</v>
      </c>
      <c r="H173" s="2">
        <v>29.0</v>
      </c>
      <c r="I173" t="inlineStr">
        <is>
          <t xml:space="preserve">вискоза 50%, ПЭ 27%, нейлон 23%</t>
        </is>
      </c>
      <c r="J173"/>
      <c r="K173"/>
      <c r="L173" t="inlineStr">
        <is>
          <t xml:space="preserve">6110309900</t>
        </is>
      </c>
      <c r="M173" t="inlineStr">
        <is>
          <t xml:space="preserve">Декларация № ЕАЭС № BY/112 11.01. ТР017 122.01 08246, до 19.04.2028</t>
        </is>
      </c>
      <c r="N173" t="inlineStr">
        <is>
          <t xml:space="preserve">33 × 30 × 3</t>
        </is>
      </c>
      <c r="O173" t="inlineStr">
        <is>
          <t xml:space="preserve">0,37</t>
        </is>
      </c>
      <c r="P173" t="inlineStr">
        <is>
          <t xml:space="preserve">4816148172921</t>
        </is>
      </c>
      <c r="Q173" s="3" t="str">
        <f>HYPERLINK("https://modify.by/img/664787771/1.webp","фото")</f>
        <v>фото</v>
      </c>
      <c r="R173" s="3" t="str">
        <f>HYPERLINK("https://modify.by/catalog/kardigany/664787771/?utm_source=price&amp;utm_medium=xlsx","открыть")</f>
        <v>открыть</v>
      </c>
    </row>
    <row r="174">
      <c r="A174" t="inlineStr">
        <is>
          <t xml:space="preserve">Женский</t>
        </is>
      </c>
      <c r="B174" t="inlineStr">
        <is>
          <t xml:space="preserve">Кардиганы</t>
        </is>
      </c>
      <c r="C174" t="inlineStr">
        <is>
          <t xml:space="preserve">Кардиган теплый вязаный удлиненный, серый меланж</t>
        </is>
      </c>
      <c r="D174" t="inlineStr">
        <is>
          <t xml:space="preserve">CA62W02серый,черный</t>
        </is>
      </c>
      <c r="E174" t="inlineStr">
        <is>
          <t xml:space="preserve">серый меланж, черный</t>
        </is>
      </c>
      <c r="F174" t="inlineStr">
        <is>
          <t xml:space="preserve">46</t>
        </is>
      </c>
      <c r="G174">
        <v>7</v>
      </c>
      <c r="H174" s="2">
        <v>29.0</v>
      </c>
      <c r="I174" t="inlineStr">
        <is>
          <t xml:space="preserve">вискоза 50%, ПЭ 27%, нейлон 23%</t>
        </is>
      </c>
      <c r="J174"/>
      <c r="K174"/>
      <c r="L174" t="inlineStr">
        <is>
          <t xml:space="preserve">6110309900</t>
        </is>
      </c>
      <c r="M174" t="inlineStr">
        <is>
          <t xml:space="preserve">Декларация № ЕАЭС № BY/112 11.01. ТР017 122.01 08246, до 19.04.2028</t>
        </is>
      </c>
      <c r="N174" t="inlineStr">
        <is>
          <t xml:space="preserve">33 × 30 × 3</t>
        </is>
      </c>
      <c r="O174" t="inlineStr">
        <is>
          <t xml:space="preserve">0,37</t>
        </is>
      </c>
      <c r="P174" t="inlineStr">
        <is>
          <t xml:space="preserve">4816148172938</t>
        </is>
      </c>
      <c r="Q174" s="3" t="str">
        <f>HYPERLINK("https://modify.by/img/664787771/1.webp","фото")</f>
        <v>фото</v>
      </c>
      <c r="R174" s="3" t="str">
        <f>HYPERLINK("https://modify.by/catalog/kardigany/664787771/?utm_source=price&amp;utm_medium=xlsx","открыть")</f>
        <v>открыть</v>
      </c>
    </row>
    <row r="175">
      <c r="A175" t="inlineStr">
        <is>
          <t xml:space="preserve">Женский</t>
        </is>
      </c>
      <c r="B175" t="inlineStr">
        <is>
          <t xml:space="preserve">Кардиганы</t>
        </is>
      </c>
      <c r="C175" t="inlineStr">
        <is>
          <t xml:space="preserve">Кардиган теплый вязаный удлиненный, серый меланж</t>
        </is>
      </c>
      <c r="D175" t="inlineStr">
        <is>
          <t xml:space="preserve">CA62W02серый,черный</t>
        </is>
      </c>
      <c r="E175" t="inlineStr">
        <is>
          <t xml:space="preserve">серый меланж, черный</t>
        </is>
      </c>
      <c r="F175" t="inlineStr">
        <is>
          <t xml:space="preserve">48</t>
        </is>
      </c>
      <c r="G175">
        <v>2</v>
      </c>
      <c r="H175" s="2">
        <v>29.0</v>
      </c>
      <c r="I175" t="inlineStr">
        <is>
          <t xml:space="preserve">вискоза 50%, ПЭ 27%, нейлон 23%</t>
        </is>
      </c>
      <c r="J175"/>
      <c r="K175"/>
      <c r="L175" t="inlineStr">
        <is>
          <t xml:space="preserve">6110309900</t>
        </is>
      </c>
      <c r="M175" t="inlineStr">
        <is>
          <t xml:space="preserve">Декларация № ЕАЭС № BY/112 11.01. ТР017 122.01 08246, до 19.04.2028</t>
        </is>
      </c>
      <c r="N175" t="inlineStr">
        <is>
          <t xml:space="preserve">33 × 30 × 3</t>
        </is>
      </c>
      <c r="O175" t="inlineStr">
        <is>
          <t xml:space="preserve">0,37</t>
        </is>
      </c>
      <c r="P175" t="inlineStr">
        <is>
          <t xml:space="preserve">4816148172945</t>
        </is>
      </c>
      <c r="Q175" s="3" t="str">
        <f>HYPERLINK("https://modify.by/img/664787771/1.webp","фото")</f>
        <v>фото</v>
      </c>
      <c r="R175" s="3" t="str">
        <f>HYPERLINK("https://modify.by/catalog/kardigany/664787771/?utm_source=price&amp;utm_medium=xlsx","открыть")</f>
        <v>открыть</v>
      </c>
    </row>
    <row r="176">
      <c r="A176" t="inlineStr">
        <is>
          <t xml:space="preserve">Женский</t>
        </is>
      </c>
      <c r="B176" t="inlineStr">
        <is>
          <t xml:space="preserve">Кардиганы</t>
        </is>
      </c>
      <c r="C176" t="inlineStr">
        <is>
          <t xml:space="preserve">Кардиган теплый вязаный удлиненный, черный</t>
        </is>
      </c>
      <c r="D176" t="inlineStr">
        <is>
          <t xml:space="preserve">CA62W02черный</t>
        </is>
      </c>
      <c r="E176" t="inlineStr">
        <is>
          <t xml:space="preserve">черный</t>
        </is>
      </c>
      <c r="F176" t="inlineStr">
        <is>
          <t xml:space="preserve">42</t>
        </is>
      </c>
      <c r="G176">
        <v>5</v>
      </c>
      <c r="H176" s="2">
        <v>29.0</v>
      </c>
      <c r="I176" t="inlineStr">
        <is>
          <t xml:space="preserve">вискоза 50%, ПЭ 27%, нейлон 23%</t>
        </is>
      </c>
      <c r="J176"/>
      <c r="K176"/>
      <c r="L176" t="inlineStr">
        <is>
          <t xml:space="preserve">6110309900</t>
        </is>
      </c>
      <c r="M176" t="inlineStr">
        <is>
          <t xml:space="preserve">Декларация № ЕАЭС № BY/112 11.01. ТР017 122.01 08246, до 19.04.2028</t>
        </is>
      </c>
      <c r="N176" t="inlineStr">
        <is>
          <t xml:space="preserve">33 × 30 × 3</t>
        </is>
      </c>
      <c r="O176" t="inlineStr">
        <is>
          <t xml:space="preserve">0,37</t>
        </is>
      </c>
      <c r="P176" t="inlineStr">
        <is>
          <t xml:space="preserve">4816148172815</t>
        </is>
      </c>
      <c r="Q176" s="3" t="str">
        <f>HYPERLINK("https://modify.by/img/670402853/1.webp","фото")</f>
        <v>фото</v>
      </c>
      <c r="R176" s="3" t="str">
        <f>HYPERLINK("https://modify.by/catalog/kardigany/670402853/?utm_source=price&amp;utm_medium=xlsx","открыть")</f>
        <v>открыть</v>
      </c>
    </row>
    <row r="177">
      <c r="A177" t="inlineStr">
        <is>
          <t xml:space="preserve">Женский</t>
        </is>
      </c>
      <c r="B177" t="inlineStr">
        <is>
          <t xml:space="preserve">Кардиганы</t>
        </is>
      </c>
      <c r="C177" t="inlineStr">
        <is>
          <t xml:space="preserve">Кофта кардиган ажурной вязки укороченный свободный</t>
        </is>
      </c>
      <c r="D177" t="inlineStr">
        <is>
          <t xml:space="preserve">SW52W02мятный</t>
        </is>
      </c>
      <c r="E177" t="inlineStr">
        <is>
          <t xml:space="preserve">мятный</t>
        </is>
      </c>
      <c r="F177" t="inlineStr">
        <is>
          <t xml:space="preserve">44</t>
        </is>
      </c>
      <c r="G177">
        <v>30</v>
      </c>
      <c r="H177" s="2">
        <v>40.0</v>
      </c>
      <c r="I177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177"/>
      <c r="K177" t="inlineStr">
        <is>
          <t xml:space="preserve">Бангладеш</t>
        </is>
      </c>
      <c r="L177" t="inlineStr">
        <is>
          <t xml:space="preserve">6110309900</t>
        </is>
      </c>
      <c r="M177" t="inlineStr">
        <is>
          <t xml:space="preserve">Декларация № ЕАЭС № BY/112 11.01. ТР017 122.01 08246, до 19.04.2028</t>
        </is>
      </c>
      <c r="N177" t="inlineStr">
        <is>
          <t xml:space="preserve">33 × 28 × 5</t>
        </is>
      </c>
      <c r="O177" t="inlineStr">
        <is>
          <t xml:space="preserve">0,6</t>
        </is>
      </c>
      <c r="P177" t="inlineStr">
        <is>
          <t xml:space="preserve">4816148163578</t>
        </is>
      </c>
      <c r="Q177" s="3" t="str">
        <f>HYPERLINK("https://modify.by/img/358528919/1.webp","фото")</f>
        <v>фото</v>
      </c>
      <c r="R177" s="3" t="str">
        <f>HYPERLINK("https://modify.by/catalog/kardigany/358528919/?utm_source=price&amp;utm_medium=xlsx","открыть")</f>
        <v>открыть</v>
      </c>
    </row>
    <row r="178">
      <c r="A178" t="inlineStr">
        <is>
          <t xml:space="preserve">Женский</t>
        </is>
      </c>
      <c r="B178" t="inlineStr">
        <is>
          <t xml:space="preserve">Кардиганы</t>
        </is>
      </c>
      <c r="C178" t="inlineStr">
        <is>
          <t xml:space="preserve">Кофта кардиган ажурной вязки укороченный свободный</t>
        </is>
      </c>
      <c r="D178" t="inlineStr">
        <is>
          <t xml:space="preserve">SW52W02мятный</t>
        </is>
      </c>
      <c r="E178" t="inlineStr">
        <is>
          <t xml:space="preserve">мятный</t>
        </is>
      </c>
      <c r="F178" t="inlineStr">
        <is>
          <t xml:space="preserve">46</t>
        </is>
      </c>
      <c r="G178">
        <v>27</v>
      </c>
      <c r="H178" s="2">
        <v>40.0</v>
      </c>
      <c r="I178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178"/>
      <c r="K178" t="inlineStr">
        <is>
          <t xml:space="preserve">Бангладеш</t>
        </is>
      </c>
      <c r="L178" t="inlineStr">
        <is>
          <t xml:space="preserve">6110309900</t>
        </is>
      </c>
      <c r="M178" t="inlineStr">
        <is>
          <t xml:space="preserve">Декларация № ЕАЭС № BY/112 11.01. ТР017 122.01 08246, до 19.04.2028</t>
        </is>
      </c>
      <c r="N178" t="inlineStr">
        <is>
          <t xml:space="preserve">33 × 28 × 5</t>
        </is>
      </c>
      <c r="O178" t="inlineStr">
        <is>
          <t xml:space="preserve">0,6</t>
        </is>
      </c>
      <c r="P178" t="inlineStr">
        <is>
          <t xml:space="preserve">4816148163585</t>
        </is>
      </c>
      <c r="Q178" s="3" t="str">
        <f>HYPERLINK("https://modify.by/img/358528919/1.webp","фото")</f>
        <v>фото</v>
      </c>
      <c r="R178" s="3" t="str">
        <f>HYPERLINK("https://modify.by/catalog/kardigany/358528919/?utm_source=price&amp;utm_medium=xlsx","открыть")</f>
        <v>открыть</v>
      </c>
    </row>
    <row r="179">
      <c r="A179" t="inlineStr">
        <is>
          <t xml:space="preserve">Женский</t>
        </is>
      </c>
      <c r="B179" t="inlineStr">
        <is>
          <t xml:space="preserve">Кардиганы</t>
        </is>
      </c>
      <c r="C179" t="inlineStr">
        <is>
          <t xml:space="preserve">Кофта кардиган ажурной вязки укороченный свободный</t>
        </is>
      </c>
      <c r="D179" t="inlineStr">
        <is>
          <t xml:space="preserve">SW52W02мятный</t>
        </is>
      </c>
      <c r="E179" t="inlineStr">
        <is>
          <t xml:space="preserve">мятный</t>
        </is>
      </c>
      <c r="F179" t="inlineStr">
        <is>
          <t xml:space="preserve">48</t>
        </is>
      </c>
      <c r="G179">
        <v>25</v>
      </c>
      <c r="H179" s="2">
        <v>40.0</v>
      </c>
      <c r="I179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179"/>
      <c r="K179" t="inlineStr">
        <is>
          <t xml:space="preserve">Бангладеш</t>
        </is>
      </c>
      <c r="L179" t="inlineStr">
        <is>
          <t xml:space="preserve">6110309900</t>
        </is>
      </c>
      <c r="M179" t="inlineStr">
        <is>
          <t xml:space="preserve">Декларация № ЕАЭС № BY/112 11.01. ТР017 122.01 08246, до 19.04.2028</t>
        </is>
      </c>
      <c r="N179" t="inlineStr">
        <is>
          <t xml:space="preserve">33 × 28 × 5</t>
        </is>
      </c>
      <c r="O179" t="inlineStr">
        <is>
          <t xml:space="preserve">0,6</t>
        </is>
      </c>
      <c r="P179" t="inlineStr">
        <is>
          <t xml:space="preserve">4816148163592</t>
        </is>
      </c>
      <c r="Q179" s="3" t="str">
        <f>HYPERLINK("https://modify.by/img/358528919/1.webp","фото")</f>
        <v>фото</v>
      </c>
      <c r="R179" s="3" t="str">
        <f>HYPERLINK("https://modify.by/catalog/kardigany/358528919/?utm_source=price&amp;utm_medium=xlsx","открыть")</f>
        <v>открыть</v>
      </c>
    </row>
    <row r="180">
      <c r="A180" t="inlineStr">
        <is>
          <t xml:space="preserve">Женский</t>
        </is>
      </c>
      <c r="B180" t="inlineStr">
        <is>
          <t xml:space="preserve">Кардиганы</t>
        </is>
      </c>
      <c r="C180" t="inlineStr">
        <is>
          <t xml:space="preserve">Кофта кардиган ажурной вязки укороченный свободный</t>
        </is>
      </c>
      <c r="D180" t="inlineStr">
        <is>
          <t xml:space="preserve">SW52W02мятный</t>
        </is>
      </c>
      <c r="E180" t="inlineStr">
        <is>
          <t xml:space="preserve">мятный</t>
        </is>
      </c>
      <c r="F180" t="inlineStr">
        <is>
          <t xml:space="preserve">50</t>
        </is>
      </c>
      <c r="G180">
        <v>6</v>
      </c>
      <c r="H180" s="2">
        <v>40.0</v>
      </c>
      <c r="I180" t="inlineStr">
        <is>
          <t xml:space="preserve">64% акрил 36% полиамид, кофта вязаная весна-осень, кардиган женский летний, кофта женская оверсайз, кардиган весенний, джемпер женский, пиджак женский,…</t>
        </is>
      </c>
      <c r="J180"/>
      <c r="K180" t="inlineStr">
        <is>
          <t xml:space="preserve">Бангладеш</t>
        </is>
      </c>
      <c r="L180" t="inlineStr">
        <is>
          <t xml:space="preserve">6110309900</t>
        </is>
      </c>
      <c r="M180" t="inlineStr">
        <is>
          <t xml:space="preserve">Декларация № ЕАЭС № BY/112 11.01. ТР017 122.01 08246, до 19.04.2028</t>
        </is>
      </c>
      <c r="N180" t="inlineStr">
        <is>
          <t xml:space="preserve">33 × 28 × 5</t>
        </is>
      </c>
      <c r="O180" t="inlineStr">
        <is>
          <t xml:space="preserve">0,6</t>
        </is>
      </c>
      <c r="P180" t="inlineStr">
        <is>
          <t xml:space="preserve">4816148163608</t>
        </is>
      </c>
      <c r="Q180" s="3" t="str">
        <f>HYPERLINK("https://modify.by/img/358528919/1.webp","фото")</f>
        <v>фото</v>
      </c>
      <c r="R180" s="3" t="str">
        <f>HYPERLINK("https://modify.by/catalog/kardigany/358528919/?utm_source=price&amp;utm_medium=xlsx","открыть")</f>
        <v>открыть</v>
      </c>
    </row>
    <row r="181">
      <c r="A181" t="inlineStr">
        <is>
          <t xml:space="preserve">Женский</t>
        </is>
      </c>
      <c r="B181" t="inlineStr">
        <is>
          <t xml:space="preserve">Кофты</t>
        </is>
      </c>
      <c r="C181" t="inlineStr">
        <is>
          <t xml:space="preserve">Свитер укороченный сетка с длинным рукавом</t>
        </is>
      </c>
      <c r="D181" t="inlineStr">
        <is>
          <t xml:space="preserve">SW32W22сиреневый</t>
        </is>
      </c>
      <c r="E181" t="inlineStr">
        <is>
          <t xml:space="preserve">сиреневый</t>
        </is>
      </c>
      <c r="F181" t="inlineStr">
        <is>
          <t xml:space="preserve">42</t>
        </is>
      </c>
      <c r="G181">
        <v>1</v>
      </c>
      <c r="H181" s="2">
        <v>25.0</v>
      </c>
      <c r="I181" t="inlineStr">
        <is>
          <t xml:space="preserve">акрил 100%</t>
        </is>
      </c>
      <c r="J181" t="inlineStr">
        <is>
          <t xml:space="preserve">демисезон</t>
        </is>
      </c>
      <c r="K181" t="inlineStr">
        <is>
          <t xml:space="preserve">Бангладеш</t>
        </is>
      </c>
      <c r="L181" t="inlineStr">
        <is>
          <t xml:space="preserve">6110309900</t>
        </is>
      </c>
      <c r="M181" t="inlineStr">
        <is>
          <t xml:space="preserve">Декларация № ЕАЭС № BY/112 11.01. ТР017 122.01 08246, до 19.04.2028</t>
        </is>
      </c>
      <c r="N181" t="inlineStr">
        <is>
          <t xml:space="preserve">37 × 27 × 3</t>
        </is>
      </c>
      <c r="O181" t="inlineStr">
        <is>
          <t xml:space="preserve">0,21</t>
        </is>
      </c>
      <c r="P181" t="inlineStr">
        <is>
          <t xml:space="preserve">2038096182612</t>
        </is>
      </c>
      <c r="Q181" s="3" t="str">
        <f>HYPERLINK("https://modify.by/img/193200562/1.webp","фото")</f>
        <v>фото</v>
      </c>
      <c r="R181" s="3" t="str">
        <f>HYPERLINK("https://modify.by/catalog/kofty/193200562/?utm_source=price&amp;utm_medium=xlsx","открыть")</f>
        <v>открыть</v>
      </c>
    </row>
    <row r="182">
      <c r="A182" t="inlineStr">
        <is>
          <t xml:space="preserve">Женский</t>
        </is>
      </c>
      <c r="B182" t="inlineStr">
        <is>
          <t xml:space="preserve">Кофты</t>
        </is>
      </c>
      <c r="C182" t="inlineStr">
        <is>
          <t xml:space="preserve">Свитер укороченный сетка с длинным рукавом</t>
        </is>
      </c>
      <c r="D182" t="inlineStr">
        <is>
          <t xml:space="preserve">SW32W22сиреневый</t>
        </is>
      </c>
      <c r="E182" t="inlineStr">
        <is>
          <t xml:space="preserve">сиреневый</t>
        </is>
      </c>
      <c r="F182" t="inlineStr">
        <is>
          <t xml:space="preserve">42</t>
        </is>
      </c>
      <c r="G182">
        <v>1</v>
      </c>
      <c r="H182" s="2">
        <v>25.0</v>
      </c>
      <c r="I182" t="inlineStr">
        <is>
          <t xml:space="preserve">акрил 100%</t>
        </is>
      </c>
      <c r="J182" t="inlineStr">
        <is>
          <t xml:space="preserve">демисезон</t>
        </is>
      </c>
      <c r="K182" t="inlineStr">
        <is>
          <t xml:space="preserve">Бангладеш</t>
        </is>
      </c>
      <c r="L182" t="inlineStr">
        <is>
          <t xml:space="preserve">6110309900</t>
        </is>
      </c>
      <c r="M182" t="inlineStr">
        <is>
          <t xml:space="preserve">Декларация № ЕАЭС № BY/112 11.01. ТР017 122.01 08246, до 19.04.2028</t>
        </is>
      </c>
      <c r="N182" t="inlineStr">
        <is>
          <t xml:space="preserve">37 × 27 × 3</t>
        </is>
      </c>
      <c r="O182" t="inlineStr">
        <is>
          <t xml:space="preserve">0,21</t>
        </is>
      </c>
      <c r="P182" t="inlineStr">
        <is>
          <t xml:space="preserve">4816148149220</t>
        </is>
      </c>
      <c r="Q182" s="3" t="str">
        <f>HYPERLINK("https://modify.by/img/193200562/1.webp","фото")</f>
        <v>фото</v>
      </c>
      <c r="R182" s="3" t="str">
        <f>HYPERLINK("https://modify.by/catalog/kofty/193200562/?utm_source=price&amp;utm_medium=xlsx","открыть")</f>
        <v>открыть</v>
      </c>
    </row>
    <row r="183">
      <c r="A183" t="inlineStr">
        <is>
          <t xml:space="preserve">Женский</t>
        </is>
      </c>
      <c r="B183" t="inlineStr">
        <is>
          <t xml:space="preserve">Лонгсливы</t>
        </is>
      </c>
      <c r="C183" t="inlineStr">
        <is>
          <t xml:space="preserve">Лонгслив на молнии с капюшоном защита от солнца UPF 50+</t>
        </is>
      </c>
      <c r="D183" t="inlineStr">
        <is>
          <t xml:space="preserve">T252SSW01белый</t>
        </is>
      </c>
      <c r="E183" t="inlineStr">
        <is>
          <t xml:space="preserve">белый</t>
        </is>
      </c>
      <c r="F183" t="inlineStr">
        <is>
          <t xml:space="preserve">50</t>
        </is>
      </c>
      <c r="G183">
        <v>1</v>
      </c>
      <c r="H183" s="2">
        <v>61.0</v>
      </c>
      <c r="I183" t="inlineStr">
        <is>
          <t xml:space="preserve">87% нейлон, 13% спандекс</t>
        </is>
      </c>
      <c r="J183" t="inlineStr">
        <is>
          <t xml:space="preserve">круглогодичный</t>
        </is>
      </c>
      <c r="K183" t="inlineStr">
        <is>
          <t xml:space="preserve">Китай</t>
        </is>
      </c>
      <c r="L183" t="inlineStr">
        <is>
          <t xml:space="preserve">6114900000</t>
        </is>
      </c>
      <c r="M183" t="inlineStr">
        <is>
          <t xml:space="preserve">Декларация № ЕАЭС N RU Д-CN.РА02.В.44060/24, до 28.02.2029</t>
        </is>
      </c>
      <c r="N183" t="inlineStr">
        <is>
          <t xml:space="preserve">34 × 28 × 3</t>
        </is>
      </c>
      <c r="O183" t="inlineStr">
        <is>
          <t xml:space="preserve">0,26</t>
        </is>
      </c>
      <c r="P183" t="inlineStr">
        <is>
          <t xml:space="preserve">4816148175274</t>
        </is>
      </c>
      <c r="Q183" s="3" t="str">
        <f>HYPERLINK("https://modify.by/img/795427284/1.webp","фото")</f>
        <v>фото</v>
      </c>
      <c r="R183" s="3" t="str">
        <f>HYPERLINK("https://modify.by/catalog/longslivy/795427284/?utm_source=price&amp;utm_medium=xlsx","открыть")</f>
        <v>открыть</v>
      </c>
    </row>
    <row r="184">
      <c r="A184" t="inlineStr">
        <is>
          <t xml:space="preserve">Женский</t>
        </is>
      </c>
      <c r="B184" t="inlineStr">
        <is>
          <t xml:space="preserve">Лонгсливы</t>
        </is>
      </c>
      <c r="C184" t="inlineStr">
        <is>
          <t xml:space="preserve">Лонгслив на молнии с капюшоном защита от солнца UPF 50+</t>
        </is>
      </c>
      <c r="D184" t="inlineStr">
        <is>
          <t xml:space="preserve">T252SSW01белый</t>
        </is>
      </c>
      <c r="E184" t="inlineStr">
        <is>
          <t xml:space="preserve">белый</t>
        </is>
      </c>
      <c r="F184" t="inlineStr">
        <is>
          <t xml:space="preserve">54</t>
        </is>
      </c>
      <c r="G184">
        <v>1</v>
      </c>
      <c r="H184" s="2">
        <v>61.0</v>
      </c>
      <c r="I184" t="inlineStr">
        <is>
          <t xml:space="preserve">87% нейлон, 13% спандекс</t>
        </is>
      </c>
      <c r="J184" t="inlineStr">
        <is>
          <t xml:space="preserve">круглогодичный</t>
        </is>
      </c>
      <c r="K184" t="inlineStr">
        <is>
          <t xml:space="preserve">Китай</t>
        </is>
      </c>
      <c r="L184" t="inlineStr">
        <is>
          <t xml:space="preserve">6114900000</t>
        </is>
      </c>
      <c r="M184" t="inlineStr">
        <is>
          <t xml:space="preserve">Декларация № ЕАЭС N RU Д-CN.РА02.В.44060/24, до 28.02.2029</t>
        </is>
      </c>
      <c r="N184" t="inlineStr">
        <is>
          <t xml:space="preserve">34 × 28 × 3</t>
        </is>
      </c>
      <c r="O184" t="inlineStr">
        <is>
          <t xml:space="preserve">0,26</t>
        </is>
      </c>
      <c r="P184" t="inlineStr">
        <is>
          <t xml:space="preserve">4816148175298</t>
        </is>
      </c>
      <c r="Q184" s="3" t="str">
        <f>HYPERLINK("https://modify.by/img/795427284/1.webp","фото")</f>
        <v>фото</v>
      </c>
      <c r="R184" s="3" t="str">
        <f>HYPERLINK("https://modify.by/catalog/longslivy/795427284/?utm_source=price&amp;utm_medium=xlsx","открыть")</f>
        <v>открыть</v>
      </c>
    </row>
    <row r="185">
      <c r="A185" t="inlineStr">
        <is>
          <t xml:space="preserve">Женский</t>
        </is>
      </c>
      <c r="B185" t="inlineStr">
        <is>
          <t xml:space="preserve">Лонгсливы</t>
        </is>
      </c>
      <c r="C185" t="inlineStr">
        <is>
          <t xml:space="preserve">Солнцезащитная кофта на молнии спортивная UPF 50+ защита</t>
        </is>
      </c>
      <c r="D185" t="inlineStr">
        <is>
          <t xml:space="preserve">T252SSW02_хаки</t>
        </is>
      </c>
      <c r="E185" t="inlineStr">
        <is>
          <t xml:space="preserve">серо-зеленый</t>
        </is>
      </c>
      <c r="F185" t="inlineStr">
        <is>
          <t xml:space="preserve">50</t>
        </is>
      </c>
      <c r="G185">
        <v>3</v>
      </c>
      <c r="H185" s="2">
        <v>40.0</v>
      </c>
      <c r="I185" t="inlineStr">
        <is>
          <t xml:space="preserve">88% полиэфирные волокна, 12% спандекс</t>
        </is>
      </c>
      <c r="J185" t="inlineStr">
        <is>
          <t xml:space="preserve">круглогодичный</t>
        </is>
      </c>
      <c r="K185" t="inlineStr">
        <is>
          <t xml:space="preserve">Китай</t>
        </is>
      </c>
      <c r="L185" t="inlineStr">
        <is>
          <t xml:space="preserve">6114900000</t>
        </is>
      </c>
      <c r="M185" t="inlineStr">
        <is>
          <t xml:space="preserve">Декларация № ЕАЭС N RU Д-CN.РА02.В.44060/24, до 28.02.2029</t>
        </is>
      </c>
      <c r="N185" t="inlineStr">
        <is>
          <t xml:space="preserve">32 × 28 × 3</t>
        </is>
      </c>
      <c r="O185" t="inlineStr">
        <is>
          <t xml:space="preserve">0,27</t>
        </is>
      </c>
      <c r="P185" t="inlineStr">
        <is>
          <t xml:space="preserve">4816148182531</t>
        </is>
      </c>
      <c r="Q185" s="3" t="str">
        <f>HYPERLINK("https://modify.by/img/942677734/1.webp","фото")</f>
        <v>фото</v>
      </c>
      <c r="R185" s="3" t="str">
        <f>HYPERLINK("https://modify.by/catalog/longslivy/942677734/?utm_source=price&amp;utm_medium=xlsx","открыть")</f>
        <v>открыть</v>
      </c>
    </row>
    <row r="186">
      <c r="A186" t="inlineStr">
        <is>
          <t xml:space="preserve">Женский</t>
        </is>
      </c>
      <c r="B186" t="inlineStr">
        <is>
          <t xml:space="preserve">Лонгсливы</t>
        </is>
      </c>
      <c r="C186" t="inlineStr">
        <is>
          <t xml:space="preserve">Солнцезащитная кофта на молнии спортивная UPF 50+ защита</t>
        </is>
      </c>
      <c r="D186" t="inlineStr">
        <is>
          <t xml:space="preserve">T252SSW02_хаки</t>
        </is>
      </c>
      <c r="E186" t="inlineStr">
        <is>
          <t xml:space="preserve">серо-зеленый</t>
        </is>
      </c>
      <c r="F186" t="inlineStr">
        <is>
          <t xml:space="preserve">52</t>
        </is>
      </c>
      <c r="G186">
        <v>2</v>
      </c>
      <c r="H186" s="2">
        <v>40.0</v>
      </c>
      <c r="I186" t="inlineStr">
        <is>
          <t xml:space="preserve">88% полиэфирные волокна, 12% спандекс</t>
        </is>
      </c>
      <c r="J186" t="inlineStr">
        <is>
          <t xml:space="preserve">круглогодичный</t>
        </is>
      </c>
      <c r="K186" t="inlineStr">
        <is>
          <t xml:space="preserve">Китай</t>
        </is>
      </c>
      <c r="L186" t="inlineStr">
        <is>
          <t xml:space="preserve">6114900000</t>
        </is>
      </c>
      <c r="M186" t="inlineStr">
        <is>
          <t xml:space="preserve">Декларация № ЕАЭС N RU Д-CN.РА02.В.44060/24, до 28.02.2029</t>
        </is>
      </c>
      <c r="N186" t="inlineStr">
        <is>
          <t xml:space="preserve">32 × 28 × 3</t>
        </is>
      </c>
      <c r="O186" t="inlineStr">
        <is>
          <t xml:space="preserve">0,27</t>
        </is>
      </c>
      <c r="P186" t="inlineStr">
        <is>
          <t xml:space="preserve">4816148182548</t>
        </is>
      </c>
      <c r="Q186" s="3" t="str">
        <f>HYPERLINK("https://modify.by/img/942677734/1.webp","фото")</f>
        <v>фото</v>
      </c>
      <c r="R186" s="3" t="str">
        <f>HYPERLINK("https://modify.by/catalog/longslivy/942677734/?utm_source=price&amp;utm_medium=xlsx","открыть")</f>
        <v>открыть</v>
      </c>
    </row>
    <row r="187">
      <c r="A187" t="inlineStr">
        <is>
          <t xml:space="preserve">Женский</t>
        </is>
      </c>
      <c r="B187" t="inlineStr">
        <is>
          <t xml:space="preserve">Лонгсливы</t>
        </is>
      </c>
      <c r="C187" t="inlineStr">
        <is>
          <t xml:space="preserve">Солнцезащитная кофта на молнии спортивная UPF 50+ защита</t>
        </is>
      </c>
      <c r="D187" t="inlineStr">
        <is>
          <t xml:space="preserve">T252SSW02_хаки</t>
        </is>
      </c>
      <c r="E187" t="inlineStr">
        <is>
          <t xml:space="preserve">серо-зеленый</t>
        </is>
      </c>
      <c r="F187" t="inlineStr">
        <is>
          <t xml:space="preserve">54</t>
        </is>
      </c>
      <c r="G187">
        <v>8</v>
      </c>
      <c r="H187" s="2">
        <v>40.0</v>
      </c>
      <c r="I187" t="inlineStr">
        <is>
          <t xml:space="preserve">88% полиэфирные волокна, 12% спандекс</t>
        </is>
      </c>
      <c r="J187" t="inlineStr">
        <is>
          <t xml:space="preserve">круглогодичный</t>
        </is>
      </c>
      <c r="K187" t="inlineStr">
        <is>
          <t xml:space="preserve">Китай</t>
        </is>
      </c>
      <c r="L187" t="inlineStr">
        <is>
          <t xml:space="preserve">6114900000</t>
        </is>
      </c>
      <c r="M187" t="inlineStr">
        <is>
          <t xml:space="preserve">Декларация № ЕАЭС N RU Д-CN.РА02.В.44060/24, до 28.02.2029</t>
        </is>
      </c>
      <c r="N187" t="inlineStr">
        <is>
          <t xml:space="preserve">32 × 28 × 3</t>
        </is>
      </c>
      <c r="O187" t="inlineStr">
        <is>
          <t xml:space="preserve">0,27</t>
        </is>
      </c>
      <c r="P187" t="inlineStr">
        <is>
          <t xml:space="preserve">4816148182555</t>
        </is>
      </c>
      <c r="Q187" s="3" t="str">
        <f>HYPERLINK("https://modify.by/img/942677734/1.webp","фото")</f>
        <v>фото</v>
      </c>
      <c r="R187" s="3" t="str">
        <f>HYPERLINK("https://modify.by/catalog/longslivy/942677734/?utm_source=price&amp;utm_medium=xlsx","открыть")</f>
        <v>открыть</v>
      </c>
    </row>
    <row r="188">
      <c r="A188" t="inlineStr">
        <is>
          <t xml:space="preserve">Женский</t>
        </is>
      </c>
      <c r="B188" t="inlineStr">
        <is>
          <t xml:space="preserve">Лонгсливы</t>
        </is>
      </c>
      <c r="C188" t="inlineStr">
        <is>
          <t xml:space="preserve">Спортивная кофта на молнии ультралегкая UPF 50+ защита</t>
        </is>
      </c>
      <c r="D188" t="inlineStr">
        <is>
          <t xml:space="preserve">T252SSW01розовый</t>
        </is>
      </c>
      <c r="E188" t="inlineStr">
        <is>
          <t xml:space="preserve">светло-розовый</t>
        </is>
      </c>
      <c r="F188" t="inlineStr">
        <is>
          <t xml:space="preserve">48</t>
        </is>
      </c>
      <c r="G188">
        <v>1</v>
      </c>
      <c r="H188" s="2">
        <v>61.0</v>
      </c>
      <c r="I188" t="inlineStr">
        <is>
          <t xml:space="preserve">87% нейлон, 13% спандекс</t>
        </is>
      </c>
      <c r="J188" t="inlineStr">
        <is>
          <t xml:space="preserve">круглогодичный</t>
        </is>
      </c>
      <c r="K188" t="inlineStr">
        <is>
          <t xml:space="preserve">Китай</t>
        </is>
      </c>
      <c r="L188" t="inlineStr">
        <is>
          <t xml:space="preserve">6114900000</t>
        </is>
      </c>
      <c r="M188" t="inlineStr">
        <is>
          <t xml:space="preserve">Декларация № ЕАЭС N RU Д-CN.РА02.В.44060/24, до 28.02.2029</t>
        </is>
      </c>
      <c r="N188" t="inlineStr">
        <is>
          <t xml:space="preserve">34 × 28 × 3</t>
        </is>
      </c>
      <c r="O188" t="inlineStr">
        <is>
          <t xml:space="preserve">0,26</t>
        </is>
      </c>
      <c r="P188" t="inlineStr">
        <is>
          <t xml:space="preserve">4816148175236</t>
        </is>
      </c>
      <c r="Q188" s="3" t="str">
        <f>HYPERLINK("https://modify.by/img/795385163/1.webp","фото")</f>
        <v>фото</v>
      </c>
      <c r="R188" s="3" t="str">
        <f>HYPERLINK("https://modify.by/catalog/longslivy/795385163/?utm_source=price&amp;utm_medium=xlsx","открыть")</f>
        <v>открыть</v>
      </c>
    </row>
    <row r="189">
      <c r="A189" t="inlineStr">
        <is>
          <t xml:space="preserve">Женский</t>
        </is>
      </c>
      <c r="B189" t="inlineStr">
        <is>
          <t xml:space="preserve">Пиджаки</t>
        </is>
      </c>
      <c r="C189" t="inlineStr">
        <is>
          <t xml:space="preserve">Пиджак без подкладки летний, белый</t>
        </is>
      </c>
      <c r="D189" t="inlineStr">
        <is>
          <t xml:space="preserve">BL32W01Белый</t>
        </is>
      </c>
      <c r="E189" t="inlineStr">
        <is>
          <t xml:space="preserve">белый</t>
        </is>
      </c>
      <c r="F189" t="inlineStr">
        <is>
          <t xml:space="preserve">44</t>
        </is>
      </c>
      <c r="G189">
        <v>3</v>
      </c>
      <c r="H189" s="2">
        <v>60.0</v>
      </c>
      <c r="I189" t="inlineStr">
        <is>
          <t xml:space="preserve">Полиэстер 65% хлопок 30% эластан 5%</t>
        </is>
      </c>
      <c r="J189"/>
      <c r="K189" t="inlineStr">
        <is>
          <t xml:space="preserve">Бангладеш</t>
        </is>
      </c>
      <c r="L189" t="inlineStr">
        <is>
          <t xml:space="preserve">6204339000</t>
        </is>
      </c>
      <c r="M189" t="inlineStr">
        <is>
          <t xml:space="preserve">Декларация № ЕАЭС № BY/112 11.01. ТР017 122.01 08246, до 19.04.2028</t>
        </is>
      </c>
      <c r="N189" t="inlineStr">
        <is>
          <t xml:space="preserve">34 × 30 × 4</t>
        </is>
      </c>
      <c r="O189" t="inlineStr">
        <is>
          <t xml:space="preserve">0,33</t>
        </is>
      </c>
      <c r="P189" t="inlineStr">
        <is>
          <t xml:space="preserve">2026620746348</t>
        </is>
      </c>
      <c r="Q189" s="3" t="str">
        <f>HYPERLINK("https://modify.by/img/170274428/1.webp","фото")</f>
        <v>фото</v>
      </c>
      <c r="R189" s="3" t="str">
        <f>HYPERLINK("https://modify.by/catalog/pidzhaki/170274428/?utm_source=price&amp;utm_medium=xlsx","открыть")</f>
        <v>открыть</v>
      </c>
    </row>
    <row r="190">
      <c r="A190" t="inlineStr">
        <is>
          <t xml:space="preserve">Женский</t>
        </is>
      </c>
      <c r="B190" t="inlineStr">
        <is>
          <t xml:space="preserve">Пиджаки</t>
        </is>
      </c>
      <c r="C190" t="inlineStr">
        <is>
          <t xml:space="preserve">Пиджак без подкладки летний, белый</t>
        </is>
      </c>
      <c r="D190" t="inlineStr">
        <is>
          <t xml:space="preserve">BL32W01Белый</t>
        </is>
      </c>
      <c r="E190" t="inlineStr">
        <is>
          <t xml:space="preserve">белый</t>
        </is>
      </c>
      <c r="F190" t="inlineStr">
        <is>
          <t xml:space="preserve">46</t>
        </is>
      </c>
      <c r="G190">
        <v>1</v>
      </c>
      <c r="H190" s="2">
        <v>60.0</v>
      </c>
      <c r="I190" t="inlineStr">
        <is>
          <t xml:space="preserve">Полиэстер 65% хлопок 30% эластан 5%</t>
        </is>
      </c>
      <c r="J190"/>
      <c r="K190" t="inlineStr">
        <is>
          <t xml:space="preserve">Бангладеш</t>
        </is>
      </c>
      <c r="L190" t="inlineStr">
        <is>
          <t xml:space="preserve">6204339000</t>
        </is>
      </c>
      <c r="M190" t="inlineStr">
        <is>
          <t xml:space="preserve">Декларация № ЕАЭС № BY/112 11.01. ТР017 122.01 08246, до 19.04.2028</t>
        </is>
      </c>
      <c r="N190" t="inlineStr">
        <is>
          <t xml:space="preserve">34 × 30 × 4</t>
        </is>
      </c>
      <c r="O190" t="inlineStr">
        <is>
          <t xml:space="preserve">0,33</t>
        </is>
      </c>
      <c r="P190" t="inlineStr">
        <is>
          <t xml:space="preserve">2026620746331</t>
        </is>
      </c>
      <c r="Q190" s="3" t="str">
        <f>HYPERLINK("https://modify.by/img/170274428/1.webp","фото")</f>
        <v>фото</v>
      </c>
      <c r="R190" s="3" t="str">
        <f>HYPERLINK("https://modify.by/catalog/pidzhaki/170274428/?utm_source=price&amp;utm_medium=xlsx","открыть")</f>
        <v>открыть</v>
      </c>
    </row>
    <row r="191">
      <c r="A191" t="inlineStr">
        <is>
          <t xml:space="preserve">Женский</t>
        </is>
      </c>
      <c r="B191" t="inlineStr">
        <is>
          <t xml:space="preserve">Пиджаки</t>
        </is>
      </c>
      <c r="C191" t="inlineStr">
        <is>
          <t xml:space="preserve">Пиджак без подкладки летний, белый</t>
        </is>
      </c>
      <c r="D191" t="inlineStr">
        <is>
          <t xml:space="preserve">BL32W01Белый</t>
        </is>
      </c>
      <c r="E191" t="inlineStr">
        <is>
          <t xml:space="preserve">белый</t>
        </is>
      </c>
      <c r="F191" t="inlineStr">
        <is>
          <t xml:space="preserve">46</t>
        </is>
      </c>
      <c r="G191">
        <v>1</v>
      </c>
      <c r="H191" s="2">
        <v>60.0</v>
      </c>
      <c r="I191" t="inlineStr">
        <is>
          <t xml:space="preserve">Полиэстер 65% хлопок 30% эластан 5%</t>
        </is>
      </c>
      <c r="J191"/>
      <c r="K191" t="inlineStr">
        <is>
          <t xml:space="preserve">Бангладеш</t>
        </is>
      </c>
      <c r="L191" t="inlineStr">
        <is>
          <t xml:space="preserve">6204339000</t>
        </is>
      </c>
      <c r="M191" t="inlineStr">
        <is>
          <t xml:space="preserve">Декларация № ЕАЭС № BY/112 11.01. ТР017 122.01 08246, до 19.04.2028</t>
        </is>
      </c>
      <c r="N191" t="inlineStr">
        <is>
          <t xml:space="preserve">34 × 30 × 4</t>
        </is>
      </c>
      <c r="O191" t="inlineStr">
        <is>
          <t xml:space="preserve">0,33</t>
        </is>
      </c>
      <c r="P191" t="inlineStr">
        <is>
          <t xml:space="preserve">4816148117991</t>
        </is>
      </c>
      <c r="Q191" s="3" t="str">
        <f>HYPERLINK("https://modify.by/img/170274428/1.webp","фото")</f>
        <v>фото</v>
      </c>
      <c r="R191" s="3" t="str">
        <f>HYPERLINK("https://modify.by/catalog/pidzhaki/170274428/?utm_source=price&amp;utm_medium=xlsx","открыть")</f>
        <v>открыть</v>
      </c>
    </row>
    <row r="192">
      <c r="A192" t="inlineStr">
        <is>
          <t xml:space="preserve">Женский</t>
        </is>
      </c>
      <c r="B192" t="inlineStr">
        <is>
          <t xml:space="preserve">Пиджаки</t>
        </is>
      </c>
      <c r="C192" t="inlineStr">
        <is>
          <t xml:space="preserve">Пиджак без подкладки летний, белый</t>
        </is>
      </c>
      <c r="D192" t="inlineStr">
        <is>
          <t xml:space="preserve">BL32W01Белый</t>
        </is>
      </c>
      <c r="E192" t="inlineStr">
        <is>
          <t xml:space="preserve">белый</t>
        </is>
      </c>
      <c r="F192" t="inlineStr">
        <is>
          <t xml:space="preserve">48</t>
        </is>
      </c>
      <c r="G192">
        <v>3</v>
      </c>
      <c r="H192" s="2">
        <v>60.0</v>
      </c>
      <c r="I192" t="inlineStr">
        <is>
          <t xml:space="preserve">Полиэстер 65% хлопок 30% эластан 5%</t>
        </is>
      </c>
      <c r="J192"/>
      <c r="K192" t="inlineStr">
        <is>
          <t xml:space="preserve">Бангладеш</t>
        </is>
      </c>
      <c r="L192" t="inlineStr">
        <is>
          <t xml:space="preserve">6204339000</t>
        </is>
      </c>
      <c r="M192" t="inlineStr">
        <is>
          <t xml:space="preserve">Декларация № ЕАЭС № BY/112 11.01. ТР017 122.01 08246, до 19.04.2028</t>
        </is>
      </c>
      <c r="N192" t="inlineStr">
        <is>
          <t xml:space="preserve">34 × 30 × 4</t>
        </is>
      </c>
      <c r="O192" t="inlineStr">
        <is>
          <t xml:space="preserve">0,33</t>
        </is>
      </c>
      <c r="P192" t="inlineStr">
        <is>
          <t xml:space="preserve">4816148117984</t>
        </is>
      </c>
      <c r="Q192" s="3" t="str">
        <f>HYPERLINK("https://modify.by/img/170274428/1.webp","фото")</f>
        <v>фото</v>
      </c>
      <c r="R192" s="3" t="str">
        <f>HYPERLINK("https://modify.by/catalog/pidzhaki/170274428/?utm_source=price&amp;utm_medium=xlsx","открыть")</f>
        <v>открыть</v>
      </c>
    </row>
    <row r="193">
      <c r="A193" t="inlineStr">
        <is>
          <t xml:space="preserve">Женский</t>
        </is>
      </c>
      <c r="B193" t="inlineStr">
        <is>
          <t xml:space="preserve">Пиджаки</t>
        </is>
      </c>
      <c r="C193" t="inlineStr">
        <is>
          <t xml:space="preserve">Пиджак без подкладки летний, белый</t>
        </is>
      </c>
      <c r="D193" t="inlineStr">
        <is>
          <t xml:space="preserve">BL32W01Белый</t>
        </is>
      </c>
      <c r="E193" t="inlineStr">
        <is>
          <t xml:space="preserve">белый</t>
        </is>
      </c>
      <c r="F193" t="inlineStr">
        <is>
          <t xml:space="preserve">52</t>
        </is>
      </c>
      <c r="G193">
        <v>1</v>
      </c>
      <c r="H193" s="2">
        <v>60.0</v>
      </c>
      <c r="I193" t="inlineStr">
        <is>
          <t xml:space="preserve">Полиэстер 65% хлопок 30% эластан 5%</t>
        </is>
      </c>
      <c r="J193"/>
      <c r="K193" t="inlineStr">
        <is>
          <t xml:space="preserve">Бангладеш</t>
        </is>
      </c>
      <c r="L193" t="inlineStr">
        <is>
          <t xml:space="preserve">6204339000</t>
        </is>
      </c>
      <c r="M193" t="inlineStr">
        <is>
          <t xml:space="preserve">Декларация № ЕАЭС № BY/112 11.01. ТР017 122.01 08246, до 19.04.2028</t>
        </is>
      </c>
      <c r="N193" t="inlineStr">
        <is>
          <t xml:space="preserve">34 × 30 × 4</t>
        </is>
      </c>
      <c r="O193" t="inlineStr">
        <is>
          <t xml:space="preserve">0,33</t>
        </is>
      </c>
      <c r="P193" t="inlineStr">
        <is>
          <t xml:space="preserve">2026620746300</t>
        </is>
      </c>
      <c r="Q193" s="3" t="str">
        <f>HYPERLINK("https://modify.by/img/170274428/1.webp","фото")</f>
        <v>фото</v>
      </c>
      <c r="R193" s="3" t="str">
        <f>HYPERLINK("https://modify.by/catalog/pidzhaki/170274428/?utm_source=price&amp;utm_medium=xlsx","открыть")</f>
        <v>открыть</v>
      </c>
    </row>
    <row r="194">
      <c r="A194" t="inlineStr">
        <is>
          <t xml:space="preserve">Женский</t>
        </is>
      </c>
      <c r="B194" t="inlineStr">
        <is>
          <t xml:space="preserve">Пиджаки</t>
        </is>
      </c>
      <c r="C194" t="inlineStr">
        <is>
          <t xml:space="preserve">Пиджак без подкладки летний, белый</t>
        </is>
      </c>
      <c r="D194" t="inlineStr">
        <is>
          <t xml:space="preserve">BL32W01Белый</t>
        </is>
      </c>
      <c r="E194" t="inlineStr">
        <is>
          <t xml:space="preserve">белый</t>
        </is>
      </c>
      <c r="F194" t="inlineStr">
        <is>
          <t xml:space="preserve">52</t>
        </is>
      </c>
      <c r="G194">
        <v>1</v>
      </c>
      <c r="H194" s="2">
        <v>60.0</v>
      </c>
      <c r="I194" t="inlineStr">
        <is>
          <t xml:space="preserve">Полиэстер 65% хлопок 30% эластан 5%</t>
        </is>
      </c>
      <c r="J194"/>
      <c r="K194" t="inlineStr">
        <is>
          <t xml:space="preserve">Бангладеш</t>
        </is>
      </c>
      <c r="L194" t="inlineStr">
        <is>
          <t xml:space="preserve">6204339000</t>
        </is>
      </c>
      <c r="M194" t="inlineStr">
        <is>
          <t xml:space="preserve">Декларация № ЕАЭС № BY/112 11.01. ТР017 122.01 08246, до 19.04.2028</t>
        </is>
      </c>
      <c r="N194" t="inlineStr">
        <is>
          <t xml:space="preserve">34 × 30 × 4</t>
        </is>
      </c>
      <c r="O194" t="inlineStr">
        <is>
          <t xml:space="preserve">0,33</t>
        </is>
      </c>
      <c r="P194" t="inlineStr">
        <is>
          <t xml:space="preserve">4816148118011</t>
        </is>
      </c>
      <c r="Q194" s="3" t="str">
        <f>HYPERLINK("https://modify.by/img/170274428/1.webp","фото")</f>
        <v>фото</v>
      </c>
      <c r="R194" s="3" t="str">
        <f>HYPERLINK("https://modify.by/catalog/pidzhaki/170274428/?utm_source=price&amp;utm_medium=xlsx","открыть")</f>
        <v>открыть</v>
      </c>
    </row>
    <row r="195">
      <c r="A195" t="inlineStr">
        <is>
          <t xml:space="preserve">Женский</t>
        </is>
      </c>
      <c r="B195" t="inlineStr">
        <is>
          <t xml:space="preserve">Пиджаки</t>
        </is>
      </c>
      <c r="C195" t="inlineStr">
        <is>
          <t xml:space="preserve">Пиджак без подкладки летний, салатовый</t>
        </is>
      </c>
      <c r="D195" t="inlineStr">
        <is>
          <t xml:space="preserve">BL32W01Салатовый</t>
        </is>
      </c>
      <c r="E195" t="inlineStr">
        <is>
          <t xml:space="preserve">салатовый</t>
        </is>
      </c>
      <c r="F195" t="inlineStr">
        <is>
          <t xml:space="preserve">46</t>
        </is>
      </c>
      <c r="G195">
        <v>1</v>
      </c>
      <c r="H195" s="2">
        <v>60.0</v>
      </c>
      <c r="I195" t="inlineStr">
        <is>
          <t xml:space="preserve">Полиэстер 65% хлопок 30% эластан 5%</t>
        </is>
      </c>
      <c r="J195"/>
      <c r="K195" t="inlineStr">
        <is>
          <t xml:space="preserve">Бангладеш</t>
        </is>
      </c>
      <c r="L195" t="inlineStr">
        <is>
          <t xml:space="preserve">6204339000</t>
        </is>
      </c>
      <c r="M195" t="inlineStr">
        <is>
          <t xml:space="preserve">Декларация № ЕАЭС № BY/112 11.01. ТР017 122.01 08246, до 19.04.2028</t>
        </is>
      </c>
      <c r="N195" t="inlineStr">
        <is>
          <t xml:space="preserve">34 × 30 × 2</t>
        </is>
      </c>
      <c r="O195" t="inlineStr">
        <is>
          <t xml:space="preserve">0,33</t>
        </is>
      </c>
      <c r="P195" t="inlineStr">
        <is>
          <t xml:space="preserve">2026620746515</t>
        </is>
      </c>
      <c r="Q195" s="3" t="str">
        <f>HYPERLINK("https://modify.by/img/170274426/1.webp","фото")</f>
        <v>фото</v>
      </c>
      <c r="R195" s="3" t="str">
        <f>HYPERLINK("https://modify.by/catalog/pidzhaki/170274426/?utm_source=price&amp;utm_medium=xlsx","открыть")</f>
        <v>открыть</v>
      </c>
    </row>
    <row r="196">
      <c r="A196" t="inlineStr">
        <is>
          <t xml:space="preserve">Женский</t>
        </is>
      </c>
      <c r="B196" t="inlineStr">
        <is>
          <t xml:space="preserve">Пиджаки</t>
        </is>
      </c>
      <c r="C196" t="inlineStr">
        <is>
          <t xml:space="preserve">Пиджак без подкладки летний, салатовый</t>
        </is>
      </c>
      <c r="D196" t="inlineStr">
        <is>
          <t xml:space="preserve">BL32W01Салатовый</t>
        </is>
      </c>
      <c r="E196" t="inlineStr">
        <is>
          <t xml:space="preserve">салатовый</t>
        </is>
      </c>
      <c r="F196" t="inlineStr">
        <is>
          <t xml:space="preserve">48</t>
        </is>
      </c>
      <c r="G196">
        <v>1</v>
      </c>
      <c r="H196" s="2">
        <v>60.0</v>
      </c>
      <c r="I196" t="inlineStr">
        <is>
          <t xml:space="preserve">Полиэстер 65% хлопок 30% эластан 5%</t>
        </is>
      </c>
      <c r="J196"/>
      <c r="K196" t="inlineStr">
        <is>
          <t xml:space="preserve">Бангладеш</t>
        </is>
      </c>
      <c r="L196" t="inlineStr">
        <is>
          <t xml:space="preserve">6204339000</t>
        </is>
      </c>
      <c r="M196" t="inlineStr">
        <is>
          <t xml:space="preserve">Декларация № ЕАЭС № BY/112 11.01. ТР017 122.01 08246, до 19.04.2028</t>
        </is>
      </c>
      <c r="N196" t="inlineStr">
        <is>
          <t xml:space="preserve">34 × 30 × 2</t>
        </is>
      </c>
      <c r="O196" t="inlineStr">
        <is>
          <t xml:space="preserve">0,33</t>
        </is>
      </c>
      <c r="P196" t="inlineStr">
        <is>
          <t xml:space="preserve">2026620746508</t>
        </is>
      </c>
      <c r="Q196" s="3" t="str">
        <f>HYPERLINK("https://modify.by/img/170274426/1.webp","фото")</f>
        <v>фото</v>
      </c>
      <c r="R196" s="3" t="str">
        <f>HYPERLINK("https://modify.by/catalog/pidzhaki/170274426/?utm_source=price&amp;utm_medium=xlsx","открыть")</f>
        <v>открыть</v>
      </c>
    </row>
    <row r="197">
      <c r="A197" t="inlineStr">
        <is>
          <t xml:space="preserve">Женский</t>
        </is>
      </c>
      <c r="B197" t="inlineStr">
        <is>
          <t xml:space="preserve">Пиджаки</t>
        </is>
      </c>
      <c r="C197" t="inlineStr">
        <is>
          <t xml:space="preserve">Пиджак без подкладки летний, салатовый</t>
        </is>
      </c>
      <c r="D197" t="inlineStr">
        <is>
          <t xml:space="preserve">BL32W01Салатовый</t>
        </is>
      </c>
      <c r="E197" t="inlineStr">
        <is>
          <t xml:space="preserve">салатовый</t>
        </is>
      </c>
      <c r="F197" t="inlineStr">
        <is>
          <t xml:space="preserve">50</t>
        </is>
      </c>
      <c r="G197">
        <v>18</v>
      </c>
      <c r="H197" s="2">
        <v>60.0</v>
      </c>
      <c r="I197" t="inlineStr">
        <is>
          <t xml:space="preserve">Полиэстер 65% хлопок 30% эластан 5%</t>
        </is>
      </c>
      <c r="J197"/>
      <c r="K197" t="inlineStr">
        <is>
          <t xml:space="preserve">Бангладеш</t>
        </is>
      </c>
      <c r="L197" t="inlineStr">
        <is>
          <t xml:space="preserve">6204339000</t>
        </is>
      </c>
      <c r="M197" t="inlineStr">
        <is>
          <t xml:space="preserve">Декларация № ЕАЭС № BY/112 11.01. ТР017 122.01 08246, до 19.04.2028</t>
        </is>
      </c>
      <c r="N197" t="inlineStr">
        <is>
          <t xml:space="preserve">34 × 30 × 2</t>
        </is>
      </c>
      <c r="O197" t="inlineStr">
        <is>
          <t xml:space="preserve">0,33</t>
        </is>
      </c>
      <c r="P197" t="inlineStr">
        <is>
          <t xml:space="preserve">2026620746492</t>
        </is>
      </c>
      <c r="Q197" s="3" t="str">
        <f>HYPERLINK("https://modify.by/img/170274426/1.webp","фото")</f>
        <v>фото</v>
      </c>
      <c r="R197" s="3" t="str">
        <f>HYPERLINK("https://modify.by/catalog/pidzhaki/170274426/?utm_source=price&amp;utm_medium=xlsx","открыть")</f>
        <v>открыть</v>
      </c>
    </row>
    <row r="198">
      <c r="A198" t="inlineStr">
        <is>
          <t xml:space="preserve">Женский</t>
        </is>
      </c>
      <c r="B198" t="inlineStr">
        <is>
          <t xml:space="preserve">Пиджаки</t>
        </is>
      </c>
      <c r="C198" t="inlineStr">
        <is>
          <t xml:space="preserve">Пиджак без подкладки летний, салатовый</t>
        </is>
      </c>
      <c r="D198" t="inlineStr">
        <is>
          <t xml:space="preserve">BL32W01Салатовый</t>
        </is>
      </c>
      <c r="E198" t="inlineStr">
        <is>
          <t xml:space="preserve">салатовый</t>
        </is>
      </c>
      <c r="F198" t="inlineStr">
        <is>
          <t xml:space="preserve">50</t>
        </is>
      </c>
      <c r="G198">
        <v>18</v>
      </c>
      <c r="H198" s="2">
        <v>60.0</v>
      </c>
      <c r="I198" t="inlineStr">
        <is>
          <t xml:space="preserve">Полиэстер 65% хлопок 30% эластан 5%</t>
        </is>
      </c>
      <c r="J198"/>
      <c r="K198" t="inlineStr">
        <is>
          <t xml:space="preserve">Бангладеш</t>
        </is>
      </c>
      <c r="L198" t="inlineStr">
        <is>
          <t xml:space="preserve">6204339000</t>
        </is>
      </c>
      <c r="M198" t="inlineStr">
        <is>
          <t xml:space="preserve">Декларация № ЕАЭС № BY/112 11.01. ТР017 122.01 08246, до 19.04.2028</t>
        </is>
      </c>
      <c r="N198" t="inlineStr">
        <is>
          <t xml:space="preserve">34 × 30 × 2</t>
        </is>
      </c>
      <c r="O198" t="inlineStr">
        <is>
          <t xml:space="preserve">0,33</t>
        </is>
      </c>
      <c r="P198" t="inlineStr">
        <is>
          <t xml:space="preserve">4816148117885</t>
        </is>
      </c>
      <c r="Q198" s="3" t="str">
        <f>HYPERLINK("https://modify.by/img/170274426/1.webp","фото")</f>
        <v>фото</v>
      </c>
      <c r="R198" s="3" t="str">
        <f>HYPERLINK("https://modify.by/catalog/pidzhaki/170274426/?utm_source=price&amp;utm_medium=xlsx","открыть")</f>
        <v>открыть</v>
      </c>
    </row>
    <row r="199">
      <c r="A199" t="inlineStr">
        <is>
          <t xml:space="preserve">Женский</t>
        </is>
      </c>
      <c r="B199" t="inlineStr">
        <is>
          <t xml:space="preserve">Пиджаки</t>
        </is>
      </c>
      <c r="C199" t="inlineStr">
        <is>
          <t xml:space="preserve">Пиджак приталенный с карманами, белый</t>
        </is>
      </c>
      <c r="D199" t="inlineStr">
        <is>
          <t xml:space="preserve">BL32W011Белый</t>
        </is>
      </c>
      <c r="E199" t="inlineStr">
        <is>
          <t xml:space="preserve">белый</t>
        </is>
      </c>
      <c r="F199" t="inlineStr">
        <is>
          <t xml:space="preserve">44</t>
        </is>
      </c>
      <c r="G199">
        <v>1</v>
      </c>
      <c r="H199" s="2">
        <v>60.0</v>
      </c>
      <c r="I199" t="inlineStr">
        <is>
          <t xml:space="preserve">95% полиэстер, 5% эластан</t>
        </is>
      </c>
      <c r="J199"/>
      <c r="K199" t="inlineStr">
        <is>
          <t xml:space="preserve">Бангладеш</t>
        </is>
      </c>
      <c r="L199" t="inlineStr">
        <is>
          <t xml:space="preserve">6204339000</t>
        </is>
      </c>
      <c r="M199" t="inlineStr">
        <is>
          <t xml:space="preserve">Декларация № ЕАЭС № BY/112 11.01. ТР017 122.01 08246, до 19.04.2028</t>
        </is>
      </c>
      <c r="N199" t="inlineStr">
        <is>
          <t xml:space="preserve">35 × 30 × 4</t>
        </is>
      </c>
      <c r="O199" t="inlineStr">
        <is>
          <t xml:space="preserve">0,55</t>
        </is>
      </c>
      <c r="P199" t="inlineStr">
        <is>
          <t xml:space="preserve">2038096164403</t>
        </is>
      </c>
      <c r="Q199" s="3" t="str">
        <f>HYPERLINK("https://modify.by/img/173321058/1.webp","фото")</f>
        <v>фото</v>
      </c>
      <c r="R199" s="3" t="str">
        <f>HYPERLINK("https://modify.by/catalog/pidzhaki/173321058/?utm_source=price&amp;utm_medium=xlsx","открыть")</f>
        <v>открыть</v>
      </c>
    </row>
    <row r="200">
      <c r="A200" t="inlineStr">
        <is>
          <t xml:space="preserve">Женский</t>
        </is>
      </c>
      <c r="B200" t="inlineStr">
        <is>
          <t xml:space="preserve">Пиджаки</t>
        </is>
      </c>
      <c r="C200" t="inlineStr">
        <is>
          <t xml:space="preserve">Пиджак приталенный с карманами, белый</t>
        </is>
      </c>
      <c r="D200" t="inlineStr">
        <is>
          <t xml:space="preserve">BL32W011Белый</t>
        </is>
      </c>
      <c r="E200" t="inlineStr">
        <is>
          <t xml:space="preserve">белый</t>
        </is>
      </c>
      <c r="F200" t="inlineStr">
        <is>
          <t xml:space="preserve">50</t>
        </is>
      </c>
      <c r="G200">
        <v>1</v>
      </c>
      <c r="H200" s="2">
        <v>60.0</v>
      </c>
      <c r="I200" t="inlineStr">
        <is>
          <t xml:space="preserve">95% полиэстер, 5% эластан</t>
        </is>
      </c>
      <c r="J200"/>
      <c r="K200" t="inlineStr">
        <is>
          <t xml:space="preserve">Бангладеш</t>
        </is>
      </c>
      <c r="L200" t="inlineStr">
        <is>
          <t xml:space="preserve">6204339000</t>
        </is>
      </c>
      <c r="M200" t="inlineStr">
        <is>
          <t xml:space="preserve">Декларация № ЕАЭС № BY/112 11.01. ТР017 122.01 08246, до 19.04.2028</t>
        </is>
      </c>
      <c r="N200" t="inlineStr">
        <is>
          <t xml:space="preserve">35 × 30 × 4</t>
        </is>
      </c>
      <c r="O200" t="inlineStr">
        <is>
          <t xml:space="preserve">0,55</t>
        </is>
      </c>
      <c r="P200" t="inlineStr">
        <is>
          <t xml:space="preserve">2038096164434</t>
        </is>
      </c>
      <c r="Q200" s="3" t="str">
        <f>HYPERLINK("https://modify.by/img/173321058/1.webp","фото")</f>
        <v>фото</v>
      </c>
      <c r="R200" s="3" t="str">
        <f>HYPERLINK("https://modify.by/catalog/pidzhaki/173321058/?utm_source=price&amp;utm_medium=xlsx","открыть")</f>
        <v>открыть</v>
      </c>
    </row>
    <row r="201">
      <c r="A201" t="inlineStr">
        <is>
          <t xml:space="preserve">Женский</t>
        </is>
      </c>
      <c r="B201" t="inlineStr">
        <is>
          <t xml:space="preserve">Пиджаки</t>
        </is>
      </c>
      <c r="C201" t="inlineStr">
        <is>
          <t xml:space="preserve">Пиджак приталенный с карманами, графит</t>
        </is>
      </c>
      <c r="D201" t="inlineStr">
        <is>
          <t xml:space="preserve">BL32W011Графит</t>
        </is>
      </c>
      <c r="E201" t="inlineStr">
        <is>
          <t xml:space="preserve">графит</t>
        </is>
      </c>
      <c r="F201" t="inlineStr">
        <is>
          <t xml:space="preserve">48</t>
        </is>
      </c>
      <c r="G201">
        <v>1</v>
      </c>
      <c r="H201" s="2">
        <v>60.0</v>
      </c>
      <c r="I201" t="inlineStr">
        <is>
          <t xml:space="preserve">Полиэстер 65% хлопок 30% эластан 5%</t>
        </is>
      </c>
      <c r="J201"/>
      <c r="K201" t="inlineStr">
        <is>
          <t xml:space="preserve">Бангладеш</t>
        </is>
      </c>
      <c r="L201" t="inlineStr">
        <is>
          <t xml:space="preserve">6204339000</t>
        </is>
      </c>
      <c r="M201" t="inlineStr">
        <is>
          <t xml:space="preserve">Декларация № ЕАЭС № BY/112 11.01. ТР017 122.01 08246, до 19.04.2028</t>
        </is>
      </c>
      <c r="N201" t="inlineStr">
        <is>
          <t xml:space="preserve">35 × 30 × 4</t>
        </is>
      </c>
      <c r="O201" t="inlineStr">
        <is>
          <t xml:space="preserve">0,55</t>
        </is>
      </c>
      <c r="P201" t="inlineStr">
        <is>
          <t xml:space="preserve">2038096168470</t>
        </is>
      </c>
      <c r="Q201" s="3" t="str">
        <f>HYPERLINK("https://modify.by/img/175381855/1.webp","фото")</f>
        <v>фото</v>
      </c>
      <c r="R201" s="3" t="str">
        <f>HYPERLINK("https://modify.by/catalog/pidzhaki/175381855/?utm_source=price&amp;utm_medium=xlsx","открыть")</f>
        <v>открыть</v>
      </c>
    </row>
    <row r="202">
      <c r="A202" t="inlineStr">
        <is>
          <t xml:space="preserve">Женский</t>
        </is>
      </c>
      <c r="B202" t="inlineStr">
        <is>
          <t xml:space="preserve">Пиджаки</t>
        </is>
      </c>
      <c r="C202" t="inlineStr">
        <is>
          <t xml:space="preserve">Пиджак приталенный с карманами, салатовый</t>
        </is>
      </c>
      <c r="D202" t="inlineStr">
        <is>
          <t xml:space="preserve">BL32W011Салатовый</t>
        </is>
      </c>
      <c r="E202" t="inlineStr">
        <is>
          <t xml:space="preserve">салатовый</t>
        </is>
      </c>
      <c r="F202" t="inlineStr">
        <is>
          <t xml:space="preserve">44</t>
        </is>
      </c>
      <c r="G202">
        <v>1</v>
      </c>
      <c r="H202" s="2">
        <v>60.0</v>
      </c>
      <c r="I202" t="inlineStr">
        <is>
          <t xml:space="preserve">Полиэстер 65% хлопок 30% эластан 5%</t>
        </is>
      </c>
      <c r="J202"/>
      <c r="K202" t="inlineStr">
        <is>
          <t xml:space="preserve">Бангладеш</t>
        </is>
      </c>
      <c r="L202" t="inlineStr">
        <is>
          <t xml:space="preserve">6204339000</t>
        </is>
      </c>
      <c r="M202" t="inlineStr">
        <is>
          <t xml:space="preserve">Декларация № ЕАЭС № BY/112 11.01. ТР017 122.01 08246, до 19.04.2028</t>
        </is>
      </c>
      <c r="N202" t="inlineStr">
        <is>
          <t xml:space="preserve">35 × 30 × 4</t>
        </is>
      </c>
      <c r="O202" t="inlineStr">
        <is>
          <t xml:space="preserve">0,55</t>
        </is>
      </c>
      <c r="P202" t="inlineStr">
        <is>
          <t xml:space="preserve">2038096168562</t>
        </is>
      </c>
      <c r="Q202" s="3" t="str">
        <f>HYPERLINK("https://modify.by/img/175381854/1.webp","фото")</f>
        <v>фото</v>
      </c>
      <c r="R202" s="3" t="str">
        <f>HYPERLINK("https://modify.by/catalog/pidzhaki/175381854/?utm_source=price&amp;utm_medium=xlsx","открыть")</f>
        <v>открыть</v>
      </c>
    </row>
    <row r="203">
      <c r="A203" t="inlineStr">
        <is>
          <t xml:space="preserve">Женский</t>
        </is>
      </c>
      <c r="B203" t="inlineStr">
        <is>
          <t xml:space="preserve">Пиджаки</t>
        </is>
      </c>
      <c r="C203" t="inlineStr">
        <is>
          <t xml:space="preserve">Пиджак приталенный с карманами, салатовый</t>
        </is>
      </c>
      <c r="D203" t="inlineStr">
        <is>
          <t xml:space="preserve">BL32W011Салатовый</t>
        </is>
      </c>
      <c r="E203" t="inlineStr">
        <is>
          <t xml:space="preserve">салатовый</t>
        </is>
      </c>
      <c r="F203" t="inlineStr">
        <is>
          <t xml:space="preserve">44</t>
        </is>
      </c>
      <c r="G203">
        <v>1</v>
      </c>
      <c r="H203" s="2">
        <v>60.0</v>
      </c>
      <c r="I203" t="inlineStr">
        <is>
          <t xml:space="preserve">Полиэстер 65% хлопок 30% эластан 5%</t>
        </is>
      </c>
      <c r="J203"/>
      <c r="K203" t="inlineStr">
        <is>
          <t xml:space="preserve">Бангладеш</t>
        </is>
      </c>
      <c r="L203" t="inlineStr">
        <is>
          <t xml:space="preserve">6204339000</t>
        </is>
      </c>
      <c r="M203" t="inlineStr">
        <is>
          <t xml:space="preserve">Декларация № ЕАЭС № BY/112 11.01. ТР017 122.01 08246, до 19.04.2028</t>
        </is>
      </c>
      <c r="N203" t="inlineStr">
        <is>
          <t xml:space="preserve">35 × 30 × 4</t>
        </is>
      </c>
      <c r="O203" t="inlineStr">
        <is>
          <t xml:space="preserve">0,55</t>
        </is>
      </c>
      <c r="P203" t="inlineStr">
        <is>
          <t xml:space="preserve">4816148118134</t>
        </is>
      </c>
      <c r="Q203" s="3" t="str">
        <f>HYPERLINK("https://modify.by/img/175381854/1.webp","фото")</f>
        <v>фото</v>
      </c>
      <c r="R203" s="3" t="str">
        <f>HYPERLINK("https://modify.by/catalog/pidzhaki/175381854/?utm_source=price&amp;utm_medium=xlsx","открыть")</f>
        <v>открыть</v>
      </c>
    </row>
    <row r="204">
      <c r="A204" t="inlineStr">
        <is>
          <t xml:space="preserve">Женский</t>
        </is>
      </c>
      <c r="B204" t="inlineStr">
        <is>
          <t xml:space="preserve">Пиджаки</t>
        </is>
      </c>
      <c r="C204" t="inlineStr">
        <is>
          <t xml:space="preserve">Пиджак приталенный с карманами, салатовый</t>
        </is>
      </c>
      <c r="D204" t="inlineStr">
        <is>
          <t xml:space="preserve">BL32W011Салатовый</t>
        </is>
      </c>
      <c r="E204" t="inlineStr">
        <is>
          <t xml:space="preserve">салатовый</t>
        </is>
      </c>
      <c r="F204" t="inlineStr">
        <is>
          <t xml:space="preserve">46</t>
        </is>
      </c>
      <c r="G204">
        <v>1</v>
      </c>
      <c r="H204" s="2">
        <v>60.0</v>
      </c>
      <c r="I204" t="inlineStr">
        <is>
          <t xml:space="preserve">Полиэстер 65% хлопок 30% эластан 5%</t>
        </is>
      </c>
      <c r="J204"/>
      <c r="K204" t="inlineStr">
        <is>
          <t xml:space="preserve">Бангладеш</t>
        </is>
      </c>
      <c r="L204" t="inlineStr">
        <is>
          <t xml:space="preserve">6204339000</t>
        </is>
      </c>
      <c r="M204" t="inlineStr">
        <is>
          <t xml:space="preserve">Декларация № ЕАЭС № BY/112 11.01. ТР017 122.01 08246, до 19.04.2028</t>
        </is>
      </c>
      <c r="N204" t="inlineStr">
        <is>
          <t xml:space="preserve">35 × 30 × 4</t>
        </is>
      </c>
      <c r="O204" t="inlineStr">
        <is>
          <t xml:space="preserve">0,55</t>
        </is>
      </c>
      <c r="P204" t="inlineStr">
        <is>
          <t xml:space="preserve">2038096168579</t>
        </is>
      </c>
      <c r="Q204" s="3" t="str">
        <f>HYPERLINK("https://modify.by/img/175381854/1.webp","фото")</f>
        <v>фото</v>
      </c>
      <c r="R204" s="3" t="str">
        <f>HYPERLINK("https://modify.by/catalog/pidzhaki/175381854/?utm_source=price&amp;utm_medium=xlsx","открыть")</f>
        <v>открыть</v>
      </c>
    </row>
    <row r="205">
      <c r="A205" t="inlineStr">
        <is>
          <t xml:space="preserve">Женский</t>
        </is>
      </c>
      <c r="B205" t="inlineStr">
        <is>
          <t xml:space="preserve">Пиджаки</t>
        </is>
      </c>
      <c r="C205" t="inlineStr">
        <is>
          <t xml:space="preserve">Пиджак приталенный с карманами, салатовый</t>
        </is>
      </c>
      <c r="D205" t="inlineStr">
        <is>
          <t xml:space="preserve">BL32W011Салатовый</t>
        </is>
      </c>
      <c r="E205" t="inlineStr">
        <is>
          <t xml:space="preserve">салатовый</t>
        </is>
      </c>
      <c r="F205" t="inlineStr">
        <is>
          <t xml:space="preserve">46</t>
        </is>
      </c>
      <c r="G205">
        <v>1</v>
      </c>
      <c r="H205" s="2">
        <v>60.0</v>
      </c>
      <c r="I205" t="inlineStr">
        <is>
          <t xml:space="preserve">Полиэстер 65% хлопок 30% эластан 5%</t>
        </is>
      </c>
      <c r="J205"/>
      <c r="K205" t="inlineStr">
        <is>
          <t xml:space="preserve">Бангладеш</t>
        </is>
      </c>
      <c r="L205" t="inlineStr">
        <is>
          <t xml:space="preserve">6204339000</t>
        </is>
      </c>
      <c r="M205" t="inlineStr">
        <is>
          <t xml:space="preserve">Декларация № ЕАЭС № BY/112 11.01. ТР017 122.01 08246, до 19.04.2028</t>
        </is>
      </c>
      <c r="N205" t="inlineStr">
        <is>
          <t xml:space="preserve">35 × 30 × 4</t>
        </is>
      </c>
      <c r="O205" t="inlineStr">
        <is>
          <t xml:space="preserve">0,55</t>
        </is>
      </c>
      <c r="P205" t="inlineStr">
        <is>
          <t xml:space="preserve">4816148118141</t>
        </is>
      </c>
      <c r="Q205" s="3" t="str">
        <f>HYPERLINK("https://modify.by/img/175381854/1.webp","фото")</f>
        <v>фото</v>
      </c>
      <c r="R205" s="3" t="str">
        <f>HYPERLINK("https://modify.by/catalog/pidzhaki/175381854/?utm_source=price&amp;utm_medium=xlsx","открыть")</f>
        <v>открыть</v>
      </c>
    </row>
    <row r="206">
      <c r="A206" t="inlineStr">
        <is>
          <t xml:space="preserve">Женский</t>
        </is>
      </c>
      <c r="B206" t="inlineStr">
        <is>
          <t xml:space="preserve">Пиджаки</t>
        </is>
      </c>
      <c r="C206" t="inlineStr">
        <is>
          <t xml:space="preserve">Пиджак приталенный с карманами, салатовый</t>
        </is>
      </c>
      <c r="D206" t="inlineStr">
        <is>
          <t xml:space="preserve">BL32W011Салатовый</t>
        </is>
      </c>
      <c r="E206" t="inlineStr">
        <is>
          <t xml:space="preserve">салатовый</t>
        </is>
      </c>
      <c r="F206" t="inlineStr">
        <is>
          <t xml:space="preserve">48</t>
        </is>
      </c>
      <c r="G206">
        <v>1</v>
      </c>
      <c r="H206" s="2">
        <v>60.0</v>
      </c>
      <c r="I206" t="inlineStr">
        <is>
          <t xml:space="preserve">Полиэстер 65% хлопок 30% эластан 5%</t>
        </is>
      </c>
      <c r="J206"/>
      <c r="K206" t="inlineStr">
        <is>
          <t xml:space="preserve">Бангладеш</t>
        </is>
      </c>
      <c r="L206" t="inlineStr">
        <is>
          <t xml:space="preserve">6204339000</t>
        </is>
      </c>
      <c r="M206" t="inlineStr">
        <is>
          <t xml:space="preserve">Декларация № ЕАЭС № BY/112 11.01. ТР017 122.01 08246, до 19.04.2028</t>
        </is>
      </c>
      <c r="N206" t="inlineStr">
        <is>
          <t xml:space="preserve">35 × 30 × 4</t>
        </is>
      </c>
      <c r="O206" t="inlineStr">
        <is>
          <t xml:space="preserve">0,55</t>
        </is>
      </c>
      <c r="P206" t="inlineStr">
        <is>
          <t xml:space="preserve">2038096168586</t>
        </is>
      </c>
      <c r="Q206" s="3" t="str">
        <f>HYPERLINK("https://modify.by/img/175381854/1.webp","фото")</f>
        <v>фото</v>
      </c>
      <c r="R206" s="3" t="str">
        <f>HYPERLINK("https://modify.by/catalog/pidzhaki/175381854/?utm_source=price&amp;utm_medium=xlsx","открыть")</f>
        <v>открыть</v>
      </c>
    </row>
    <row r="207">
      <c r="A207" t="inlineStr">
        <is>
          <t xml:space="preserve">Женский</t>
        </is>
      </c>
      <c r="B207" t="inlineStr">
        <is>
          <t xml:space="preserve">Пиджаки</t>
        </is>
      </c>
      <c r="C207" t="inlineStr">
        <is>
          <t xml:space="preserve">Пиджак приталенный с карманами, салатовый</t>
        </is>
      </c>
      <c r="D207" t="inlineStr">
        <is>
          <t xml:space="preserve">BL32W011Салатовый</t>
        </is>
      </c>
      <c r="E207" t="inlineStr">
        <is>
          <t xml:space="preserve">салатовый</t>
        </is>
      </c>
      <c r="F207" t="inlineStr">
        <is>
          <t xml:space="preserve">48</t>
        </is>
      </c>
      <c r="G207">
        <v>1</v>
      </c>
      <c r="H207" s="2">
        <v>60.0</v>
      </c>
      <c r="I207" t="inlineStr">
        <is>
          <t xml:space="preserve">Полиэстер 65% хлопок 30% эластан 5%</t>
        </is>
      </c>
      <c r="J207"/>
      <c r="K207" t="inlineStr">
        <is>
          <t xml:space="preserve">Бангладеш</t>
        </is>
      </c>
      <c r="L207" t="inlineStr">
        <is>
          <t xml:space="preserve">6204339000</t>
        </is>
      </c>
      <c r="M207" t="inlineStr">
        <is>
          <t xml:space="preserve">Декларация № ЕАЭС № BY/112 11.01. ТР017 122.01 08246, до 19.04.2028</t>
        </is>
      </c>
      <c r="N207" t="inlineStr">
        <is>
          <t xml:space="preserve">35 × 30 × 4</t>
        </is>
      </c>
      <c r="O207" t="inlineStr">
        <is>
          <t xml:space="preserve">0,55</t>
        </is>
      </c>
      <c r="P207" t="inlineStr">
        <is>
          <t xml:space="preserve">4816148118158</t>
        </is>
      </c>
      <c r="Q207" s="3" t="str">
        <f>HYPERLINK("https://modify.by/img/175381854/1.webp","фото")</f>
        <v>фото</v>
      </c>
      <c r="R207" s="3" t="str">
        <f>HYPERLINK("https://modify.by/catalog/pidzhaki/175381854/?utm_source=price&amp;utm_medium=xlsx","открыть")</f>
        <v>открыть</v>
      </c>
    </row>
    <row r="208">
      <c r="A208" t="inlineStr">
        <is>
          <t xml:space="preserve">Женский</t>
        </is>
      </c>
      <c r="B208" t="inlineStr">
        <is>
          <t xml:space="preserve">Пиджаки</t>
        </is>
      </c>
      <c r="C208" t="inlineStr">
        <is>
          <t xml:space="preserve">Пиджак приталенный с карманами, синий</t>
        </is>
      </c>
      <c r="D208" t="inlineStr">
        <is>
          <t xml:space="preserve">BL32W011Синий</t>
        </is>
      </c>
      <c r="E208" t="inlineStr">
        <is>
          <t xml:space="preserve">синий</t>
        </is>
      </c>
      <c r="F208" t="inlineStr">
        <is>
          <t xml:space="preserve">56</t>
        </is>
      </c>
      <c r="G208">
        <v>1</v>
      </c>
      <c r="H208" s="2">
        <v>60.0</v>
      </c>
      <c r="I208" t="inlineStr">
        <is>
          <t xml:space="preserve">Полиэстер 65% хлопок 30% эластан 5%</t>
        </is>
      </c>
      <c r="J208"/>
      <c r="K208" t="inlineStr">
        <is>
          <t xml:space="preserve">Бангладеш</t>
        </is>
      </c>
      <c r="L208" t="inlineStr">
        <is>
          <t xml:space="preserve">6204339000</t>
        </is>
      </c>
      <c r="M208" t="inlineStr">
        <is>
          <t xml:space="preserve">Декларация № ЕАЭС № BY/112 11.01. ТР017 122.01 08246, до 19.04.2028</t>
        </is>
      </c>
      <c r="N208" t="inlineStr">
        <is>
          <t xml:space="preserve">35 × 30 × 4</t>
        </is>
      </c>
      <c r="O208" t="inlineStr">
        <is>
          <t xml:space="preserve">0,55</t>
        </is>
      </c>
      <c r="P208" t="inlineStr">
        <is>
          <t xml:space="preserve">2038096168555</t>
        </is>
      </c>
      <c r="Q208" s="3" t="str">
        <f>HYPERLINK("https://modify.by/img/175381853/1.webp","фото")</f>
        <v>фото</v>
      </c>
      <c r="R208" s="3" t="str">
        <f>HYPERLINK("https://modify.by/catalog/pidzhaki/175381853/?utm_source=price&amp;utm_medium=xlsx","открыть")</f>
        <v>открыть</v>
      </c>
    </row>
    <row r="209">
      <c r="A209" t="inlineStr">
        <is>
          <t xml:space="preserve">Женский</t>
        </is>
      </c>
      <c r="B209" t="inlineStr">
        <is>
          <t xml:space="preserve">Пиджаки</t>
        </is>
      </c>
      <c r="C209" t="inlineStr">
        <is>
          <t xml:space="preserve">Пиджак приталенный с карманами, ярко-розовый</t>
        </is>
      </c>
      <c r="D209" t="inlineStr">
        <is>
          <t xml:space="preserve">BL32W011Ярко-розовый</t>
        </is>
      </c>
      <c r="E209" t="inlineStr">
        <is>
          <t xml:space="preserve">ярко-розовый</t>
        </is>
      </c>
      <c r="F209" t="inlineStr">
        <is>
          <t xml:space="preserve">46</t>
        </is>
      </c>
      <c r="G209">
        <v>1</v>
      </c>
      <c r="H209" s="2">
        <v>60.0</v>
      </c>
      <c r="I209" t="inlineStr">
        <is>
          <t xml:space="preserve">95% полиэстер, 5% эластан</t>
        </is>
      </c>
      <c r="J209"/>
      <c r="K209" t="inlineStr">
        <is>
          <t xml:space="preserve">Бангладеш</t>
        </is>
      </c>
      <c r="L209" t="inlineStr">
        <is>
          <t xml:space="preserve">6204339000</t>
        </is>
      </c>
      <c r="M209" t="inlineStr">
        <is>
          <t xml:space="preserve">Декларация № ЕАЭС № BY/112 11.01. ТР017 122.01 08246, до 19.04.2028</t>
        </is>
      </c>
      <c r="N209" t="inlineStr">
        <is>
          <t xml:space="preserve">26 × 30 × 5</t>
        </is>
      </c>
      <c r="O209" t="inlineStr">
        <is>
          <t xml:space="preserve">0,55</t>
        </is>
      </c>
      <c r="P209" t="inlineStr">
        <is>
          <t xml:space="preserve">2038096164304</t>
        </is>
      </c>
      <c r="Q209" s="3" t="str">
        <f>HYPERLINK("https://modify.by/img/173321054/1.webp","фото")</f>
        <v>фото</v>
      </c>
      <c r="R209" s="3" t="str">
        <f>HYPERLINK("https://modify.by/catalog/pidzhaki/173321054/?utm_source=price&amp;utm_medium=xlsx","открыть")</f>
        <v>открыть</v>
      </c>
    </row>
    <row r="210">
      <c r="A210" t="inlineStr">
        <is>
          <t xml:space="preserve">Женский</t>
        </is>
      </c>
      <c r="B210" t="inlineStr">
        <is>
          <t xml:space="preserve">Пуховики</t>
        </is>
      </c>
      <c r="C210" t="inlineStr">
        <is>
          <t xml:space="preserve">Пуховик с капюшоном в корейском стиле оверсайз</t>
        </is>
      </c>
      <c r="D210" t="inlineStr">
        <is>
          <t xml:space="preserve">T3PJ52W02черный</t>
        </is>
      </c>
      <c r="E210" t="inlineStr">
        <is>
          <t xml:space="preserve">черный</t>
        </is>
      </c>
      <c r="F210" t="inlineStr">
        <is>
          <t xml:space="preserve">50</t>
        </is>
      </c>
      <c r="G210">
        <v>1</v>
      </c>
      <c r="H210" s="2">
        <v>105.0</v>
      </c>
      <c r="I210" t="inlineStr">
        <is>
          <t xml:space="preserve">полиэфирное волокно, пэ, хлопок</t>
        </is>
      </c>
      <c r="J210" t="inlineStr">
        <is>
          <t xml:space="preserve">зима</t>
        </is>
      </c>
      <c r="K210" t="inlineStr">
        <is>
          <t xml:space="preserve">Китай</t>
        </is>
      </c>
      <c r="L210" t="inlineStr">
        <is>
          <t xml:space="preserve">6202400009</t>
        </is>
      </c>
      <c r="M210" t="inlineStr">
        <is>
          <t xml:space="preserve">Декларация № ЕАЭС N RU Д-CN.РА11.В.01375/24, до 28.11.2025</t>
        </is>
      </c>
      <c r="N210" t="inlineStr">
        <is>
          <t xml:space="preserve">40 × 28 × 11</t>
        </is>
      </c>
      <c r="O210" t="inlineStr">
        <is>
          <t xml:space="preserve">0,86</t>
        </is>
      </c>
      <c r="P210" t="inlineStr">
        <is>
          <t xml:space="preserve">4816148163349</t>
        </is>
      </c>
      <c r="Q210" s="3" t="str">
        <f>HYPERLINK("https://modify.by/img/532070318/1.webp","фото")</f>
        <v>фото</v>
      </c>
      <c r="R210" s="3" t="str">
        <f>HYPERLINK("https://modify.by/catalog/puhoviki/532070318/?utm_source=price&amp;utm_medium=xlsx","открыть")</f>
        <v>открыть</v>
      </c>
    </row>
    <row r="211">
      <c r="A211" t="inlineStr">
        <is>
          <t xml:space="preserve">Женский</t>
        </is>
      </c>
      <c r="B211" t="inlineStr">
        <is>
          <t xml:space="preserve">Резиновые сапоги</t>
        </is>
      </c>
      <c r="C211" t="inlineStr">
        <is>
          <t xml:space="preserve">Полусапожки резиновые непромокаемые, белый</t>
        </is>
      </c>
      <c r="D211" t="inlineStr">
        <is>
          <t xml:space="preserve">815белый</t>
        </is>
      </c>
      <c r="E211" t="inlineStr">
        <is>
          <t xml:space="preserve">белый</t>
        </is>
      </c>
      <c r="F211" t="inlineStr">
        <is>
          <t xml:space="preserve">35</t>
        </is>
      </c>
      <c r="G211">
        <v>1</v>
      </c>
      <c r="H211" s="2">
        <v>46.0</v>
      </c>
      <c r="I211" t="inlineStr">
        <is>
          <t xml:space="preserve">100% ПВХ</t>
        </is>
      </c>
      <c r="J211" t="inlineStr">
        <is>
          <t xml:space="preserve">демисезон</t>
        </is>
      </c>
      <c r="K211" t="inlineStr">
        <is>
          <t xml:space="preserve">Китай</t>
        </is>
      </c>
      <c r="L211" t="inlineStr">
        <is>
          <t xml:space="preserve">6401929000</t>
        </is>
      </c>
      <c r="M211" t="inlineStr">
        <is>
          <t xml:space="preserve">Декларация № ЕАЭС KG417/533.Д.0004548, до 27.03.2029</t>
        </is>
      </c>
      <c r="N211" t="inlineStr">
        <is>
          <t xml:space="preserve">33 × 24 × 15</t>
        </is>
      </c>
      <c r="O211" t="inlineStr">
        <is>
          <t xml:space="preserve">0,74</t>
        </is>
      </c>
      <c r="P211" t="inlineStr">
        <is>
          <t xml:space="preserve">4816148150936</t>
        </is>
      </c>
      <c r="Q211" s="3" t="str">
        <f>HYPERLINK("https://modify.by/img/302253597/1.webp","фото")</f>
        <v>фото</v>
      </c>
      <c r="R211" s="3" t="str">
        <f>HYPERLINK("https://modify.by/catalog/rezinovye-sapogi/302253597/?utm_source=price&amp;utm_medium=xlsx","открыть")</f>
        <v>открыть</v>
      </c>
    </row>
    <row r="212">
      <c r="A212" t="inlineStr">
        <is>
          <t xml:space="preserve">Женский</t>
        </is>
      </c>
      <c r="B212" t="inlineStr">
        <is>
          <t xml:space="preserve">Резиновые сапоги</t>
        </is>
      </c>
      <c r="C212" t="inlineStr">
        <is>
          <t xml:space="preserve">Полусапожки резиновые непромокаемые, белый</t>
        </is>
      </c>
      <c r="D212" t="inlineStr">
        <is>
          <t xml:space="preserve">815белый</t>
        </is>
      </c>
      <c r="E212" t="inlineStr">
        <is>
          <t xml:space="preserve">белый</t>
        </is>
      </c>
      <c r="F212" t="inlineStr">
        <is>
          <t xml:space="preserve">36</t>
        </is>
      </c>
      <c r="G212">
        <v>1</v>
      </c>
      <c r="H212" s="2">
        <v>46.0</v>
      </c>
      <c r="I212" t="inlineStr">
        <is>
          <t xml:space="preserve">100% ПВХ</t>
        </is>
      </c>
      <c r="J212" t="inlineStr">
        <is>
          <t xml:space="preserve">демисезон</t>
        </is>
      </c>
      <c r="K212" t="inlineStr">
        <is>
          <t xml:space="preserve">Китай</t>
        </is>
      </c>
      <c r="L212" t="inlineStr">
        <is>
          <t xml:space="preserve">6401929000</t>
        </is>
      </c>
      <c r="M212" t="inlineStr">
        <is>
          <t xml:space="preserve">Декларация № ЕАЭС KG417/533.Д.0004548, до 27.03.2029</t>
        </is>
      </c>
      <c r="N212" t="inlineStr">
        <is>
          <t xml:space="preserve">33 × 24 × 15</t>
        </is>
      </c>
      <c r="O212" t="inlineStr">
        <is>
          <t xml:space="preserve">0,74</t>
        </is>
      </c>
      <c r="P212" t="inlineStr">
        <is>
          <t xml:space="preserve">4816148150943</t>
        </is>
      </c>
      <c r="Q212" s="3" t="str">
        <f>HYPERLINK("https://modify.by/img/302253597/1.webp","фото")</f>
        <v>фото</v>
      </c>
      <c r="R212" s="3" t="str">
        <f>HYPERLINK("https://modify.by/catalog/rezinovye-sapogi/302253597/?utm_source=price&amp;utm_medium=xlsx","открыть")</f>
        <v>открыть</v>
      </c>
    </row>
    <row r="213">
      <c r="A213" t="inlineStr">
        <is>
          <t xml:space="preserve">Женский</t>
        </is>
      </c>
      <c r="B213" t="inlineStr">
        <is>
          <t xml:space="preserve">Резиновые сапоги</t>
        </is>
      </c>
      <c r="C213" t="inlineStr">
        <is>
          <t xml:space="preserve">Полусапожки резиновые непромокаемые, белый</t>
        </is>
      </c>
      <c r="D213" t="inlineStr">
        <is>
          <t xml:space="preserve">815белый</t>
        </is>
      </c>
      <c r="E213" t="inlineStr">
        <is>
          <t xml:space="preserve">белый</t>
        </is>
      </c>
      <c r="F213" t="inlineStr">
        <is>
          <t xml:space="preserve">38</t>
        </is>
      </c>
      <c r="G213">
        <v>1</v>
      </c>
      <c r="H213" s="2">
        <v>46.0</v>
      </c>
      <c r="I213" t="inlineStr">
        <is>
          <t xml:space="preserve">100% ПВХ</t>
        </is>
      </c>
      <c r="J213" t="inlineStr">
        <is>
          <t xml:space="preserve">демисезон</t>
        </is>
      </c>
      <c r="K213" t="inlineStr">
        <is>
          <t xml:space="preserve">Китай</t>
        </is>
      </c>
      <c r="L213" t="inlineStr">
        <is>
          <t xml:space="preserve">6401929000</t>
        </is>
      </c>
      <c r="M213" t="inlineStr">
        <is>
          <t xml:space="preserve">Декларация № ЕАЭС KG417/533.Д.0004548, до 27.03.2029</t>
        </is>
      </c>
      <c r="N213" t="inlineStr">
        <is>
          <t xml:space="preserve">33 × 24 × 15</t>
        </is>
      </c>
      <c r="O213" t="inlineStr">
        <is>
          <t xml:space="preserve">0,74</t>
        </is>
      </c>
      <c r="P213" t="inlineStr">
        <is>
          <t xml:space="preserve">4816148150967</t>
        </is>
      </c>
      <c r="Q213" s="3" t="str">
        <f>HYPERLINK("https://modify.by/img/302253597/1.webp","фото")</f>
        <v>фото</v>
      </c>
      <c r="R213" s="3" t="str">
        <f>HYPERLINK("https://modify.by/catalog/rezinovye-sapogi/302253597/?utm_source=price&amp;utm_medium=xlsx","открыть")</f>
        <v>открыть</v>
      </c>
    </row>
    <row r="214">
      <c r="A214" t="inlineStr">
        <is>
          <t xml:space="preserve">Женский</t>
        </is>
      </c>
      <c r="B214" t="inlineStr">
        <is>
          <t xml:space="preserve">Резиновые сапоги</t>
        </is>
      </c>
      <c r="C214" t="inlineStr">
        <is>
          <t xml:space="preserve">Полусапожки резиновые непромокаемые, белый</t>
        </is>
      </c>
      <c r="D214" t="inlineStr">
        <is>
          <t xml:space="preserve">815белый</t>
        </is>
      </c>
      <c r="E214" t="inlineStr">
        <is>
          <t xml:space="preserve">белый</t>
        </is>
      </c>
      <c r="F214" t="inlineStr">
        <is>
          <t xml:space="preserve">39</t>
        </is>
      </c>
      <c r="G214">
        <v>1</v>
      </c>
      <c r="H214" s="2">
        <v>46.0</v>
      </c>
      <c r="I214" t="inlineStr">
        <is>
          <t xml:space="preserve">100% ПВХ</t>
        </is>
      </c>
      <c r="J214" t="inlineStr">
        <is>
          <t xml:space="preserve">демисезон</t>
        </is>
      </c>
      <c r="K214" t="inlineStr">
        <is>
          <t xml:space="preserve">Китай</t>
        </is>
      </c>
      <c r="L214" t="inlineStr">
        <is>
          <t xml:space="preserve">6401929000</t>
        </is>
      </c>
      <c r="M214" t="inlineStr">
        <is>
          <t xml:space="preserve">Декларация № ЕАЭС KG417/533.Д.0004548, до 27.03.2029</t>
        </is>
      </c>
      <c r="N214" t="inlineStr">
        <is>
          <t xml:space="preserve">33 × 24 × 15</t>
        </is>
      </c>
      <c r="O214" t="inlineStr">
        <is>
          <t xml:space="preserve">0,74</t>
        </is>
      </c>
      <c r="P214" t="inlineStr">
        <is>
          <t xml:space="preserve">4816148150974</t>
        </is>
      </c>
      <c r="Q214" s="3" t="str">
        <f>HYPERLINK("https://modify.by/img/302253597/1.webp","фото")</f>
        <v>фото</v>
      </c>
      <c r="R214" s="3" t="str">
        <f>HYPERLINK("https://modify.by/catalog/rezinovye-sapogi/302253597/?utm_source=price&amp;utm_medium=xlsx","открыть")</f>
        <v>открыть</v>
      </c>
    </row>
    <row r="215">
      <c r="A215" t="inlineStr">
        <is>
          <t xml:space="preserve">Женский</t>
        </is>
      </c>
      <c r="B215" t="inlineStr">
        <is>
          <t xml:space="preserve">Резиновые сапоги</t>
        </is>
      </c>
      <c r="C215" t="inlineStr">
        <is>
          <t xml:space="preserve">Полусапожки резиновые непромокаемые, розовый</t>
        </is>
      </c>
      <c r="D215" t="inlineStr">
        <is>
          <t xml:space="preserve">815розовый</t>
        </is>
      </c>
      <c r="E215" t="inlineStr">
        <is>
          <t xml:space="preserve">розовый</t>
        </is>
      </c>
      <c r="F215" t="inlineStr">
        <is>
          <t xml:space="preserve">34</t>
        </is>
      </c>
      <c r="G215">
        <v>1</v>
      </c>
      <c r="H215" s="2">
        <v>46.0</v>
      </c>
      <c r="I215" t="inlineStr">
        <is>
          <t xml:space="preserve">100% ПВХ</t>
        </is>
      </c>
      <c r="J215" t="inlineStr">
        <is>
          <t xml:space="preserve">демисезон</t>
        </is>
      </c>
      <c r="K215" t="inlineStr">
        <is>
          <t xml:space="preserve">Китай</t>
        </is>
      </c>
      <c r="L215" t="inlineStr">
        <is>
          <t xml:space="preserve">6401929000</t>
        </is>
      </c>
      <c r="M215" t="inlineStr">
        <is>
          <t xml:space="preserve">Декларация № ЕАЭС KG417/533.Д.0004548, до 27.03.2029</t>
        </is>
      </c>
      <c r="N215" t="inlineStr">
        <is>
          <t xml:space="preserve">33 × 24 × 15</t>
        </is>
      </c>
      <c r="O215" t="inlineStr">
        <is>
          <t xml:space="preserve">0,74</t>
        </is>
      </c>
      <c r="P215" t="inlineStr">
        <is>
          <t xml:space="preserve">4816148150981</t>
        </is>
      </c>
      <c r="Q215" s="3" t="str">
        <f>HYPERLINK("https://modify.by/img/302253598/1.webp","фото")</f>
        <v>фото</v>
      </c>
      <c r="R215" s="3" t="str">
        <f>HYPERLINK("https://modify.by/catalog/rezinovye-sapogi/302253598/?utm_source=price&amp;utm_medium=xlsx","открыть")</f>
        <v>открыть</v>
      </c>
    </row>
    <row r="216">
      <c r="A216" t="inlineStr">
        <is>
          <t xml:space="preserve">Женский</t>
        </is>
      </c>
      <c r="B216" t="inlineStr">
        <is>
          <t xml:space="preserve">Резиновые сапоги</t>
        </is>
      </c>
      <c r="C216" t="inlineStr">
        <is>
          <t xml:space="preserve">Полусапожки резиновые непромокаемые, розовый</t>
        </is>
      </c>
      <c r="D216" t="inlineStr">
        <is>
          <t xml:space="preserve">815розовый</t>
        </is>
      </c>
      <c r="E216" t="inlineStr">
        <is>
          <t xml:space="preserve">розовый</t>
        </is>
      </c>
      <c r="F216" t="inlineStr">
        <is>
          <t xml:space="preserve">35</t>
        </is>
      </c>
      <c r="G216">
        <v>2</v>
      </c>
      <c r="H216" s="2">
        <v>46.0</v>
      </c>
      <c r="I216" t="inlineStr">
        <is>
          <t xml:space="preserve">100% ПВХ</t>
        </is>
      </c>
      <c r="J216" t="inlineStr">
        <is>
          <t xml:space="preserve">демисезон</t>
        </is>
      </c>
      <c r="K216" t="inlineStr">
        <is>
          <t xml:space="preserve">Китай</t>
        </is>
      </c>
      <c r="L216" t="inlineStr">
        <is>
          <t xml:space="preserve">6401929000</t>
        </is>
      </c>
      <c r="M216" t="inlineStr">
        <is>
          <t xml:space="preserve">Декларация № ЕАЭС KG417/533.Д.0004548, до 27.03.2029</t>
        </is>
      </c>
      <c r="N216" t="inlineStr">
        <is>
          <t xml:space="preserve">33 × 24 × 15</t>
        </is>
      </c>
      <c r="O216" t="inlineStr">
        <is>
          <t xml:space="preserve">0,74</t>
        </is>
      </c>
      <c r="P216" t="inlineStr">
        <is>
          <t xml:space="preserve">4816148150998</t>
        </is>
      </c>
      <c r="Q216" s="3" t="str">
        <f>HYPERLINK("https://modify.by/img/302253598/1.webp","фото")</f>
        <v>фото</v>
      </c>
      <c r="R216" s="3" t="str">
        <f>HYPERLINK("https://modify.by/catalog/rezinovye-sapogi/302253598/?utm_source=price&amp;utm_medium=xlsx","открыть")</f>
        <v>открыть</v>
      </c>
    </row>
    <row r="217">
      <c r="A217" t="inlineStr">
        <is>
          <t xml:space="preserve">Женский</t>
        </is>
      </c>
      <c r="B217" t="inlineStr">
        <is>
          <t xml:space="preserve">Резиновые сапоги</t>
        </is>
      </c>
      <c r="C217" t="inlineStr">
        <is>
          <t xml:space="preserve">Полусапожки резиновые непромокаемые, розовый</t>
        </is>
      </c>
      <c r="D217" t="inlineStr">
        <is>
          <t xml:space="preserve">815розовый</t>
        </is>
      </c>
      <c r="E217" t="inlineStr">
        <is>
          <t xml:space="preserve">розовый</t>
        </is>
      </c>
      <c r="F217" t="inlineStr">
        <is>
          <t xml:space="preserve">36</t>
        </is>
      </c>
      <c r="G217">
        <v>3</v>
      </c>
      <c r="H217" s="2">
        <v>46.0</v>
      </c>
      <c r="I217" t="inlineStr">
        <is>
          <t xml:space="preserve">100% ПВХ</t>
        </is>
      </c>
      <c r="J217" t="inlineStr">
        <is>
          <t xml:space="preserve">демисезон</t>
        </is>
      </c>
      <c r="K217" t="inlineStr">
        <is>
          <t xml:space="preserve">Китай</t>
        </is>
      </c>
      <c r="L217" t="inlineStr">
        <is>
          <t xml:space="preserve">6401929000</t>
        </is>
      </c>
      <c r="M217" t="inlineStr">
        <is>
          <t xml:space="preserve">Декларация № ЕАЭС KG417/533.Д.0004548, до 27.03.2029</t>
        </is>
      </c>
      <c r="N217" t="inlineStr">
        <is>
          <t xml:space="preserve">33 × 24 × 15</t>
        </is>
      </c>
      <c r="O217" t="inlineStr">
        <is>
          <t xml:space="preserve">0,74</t>
        </is>
      </c>
      <c r="P217" t="inlineStr">
        <is>
          <t xml:space="preserve">4816148151001</t>
        </is>
      </c>
      <c r="Q217" s="3" t="str">
        <f>HYPERLINK("https://modify.by/img/302253598/1.webp","фото")</f>
        <v>фото</v>
      </c>
      <c r="R217" s="3" t="str">
        <f>HYPERLINK("https://modify.by/catalog/rezinovye-sapogi/302253598/?utm_source=price&amp;utm_medium=xlsx","открыть")</f>
        <v>открыть</v>
      </c>
    </row>
    <row r="218">
      <c r="A218" t="inlineStr">
        <is>
          <t xml:space="preserve">Женский</t>
        </is>
      </c>
      <c r="B218" t="inlineStr">
        <is>
          <t xml:space="preserve">Резиновые сапоги</t>
        </is>
      </c>
      <c r="C218" t="inlineStr">
        <is>
          <t xml:space="preserve">Полусапожки резиновые непромокаемые, розовый</t>
        </is>
      </c>
      <c r="D218" t="inlineStr">
        <is>
          <t xml:space="preserve">815розовый</t>
        </is>
      </c>
      <c r="E218" t="inlineStr">
        <is>
          <t xml:space="preserve">розовый</t>
        </is>
      </c>
      <c r="F218" t="inlineStr">
        <is>
          <t xml:space="preserve">39</t>
        </is>
      </c>
      <c r="G218">
        <v>1</v>
      </c>
      <c r="H218" s="2">
        <v>46.0</v>
      </c>
      <c r="I218" t="inlineStr">
        <is>
          <t xml:space="preserve">100% ПВХ</t>
        </is>
      </c>
      <c r="J218" t="inlineStr">
        <is>
          <t xml:space="preserve">демисезон</t>
        </is>
      </c>
      <c r="K218" t="inlineStr">
        <is>
          <t xml:space="preserve">Китай</t>
        </is>
      </c>
      <c r="L218" t="inlineStr">
        <is>
          <t xml:space="preserve">6401929000</t>
        </is>
      </c>
      <c r="M218" t="inlineStr">
        <is>
          <t xml:space="preserve">Декларация № ЕАЭС KG417/533.Д.0004548, до 27.03.2029</t>
        </is>
      </c>
      <c r="N218" t="inlineStr">
        <is>
          <t xml:space="preserve">33 × 24 × 15</t>
        </is>
      </c>
      <c r="O218" t="inlineStr">
        <is>
          <t xml:space="preserve">0,74</t>
        </is>
      </c>
      <c r="P218" t="inlineStr">
        <is>
          <t xml:space="preserve">4816148151032</t>
        </is>
      </c>
      <c r="Q218" s="3" t="str">
        <f>HYPERLINK("https://modify.by/img/302253598/1.webp","фото")</f>
        <v>фото</v>
      </c>
      <c r="R218" s="3" t="str">
        <f>HYPERLINK("https://modify.by/catalog/rezinovye-sapogi/302253598/?utm_source=price&amp;utm_medium=xlsx","открыть")</f>
        <v>открыть</v>
      </c>
    </row>
    <row r="219">
      <c r="A219" t="inlineStr">
        <is>
          <t xml:space="preserve">Женский</t>
        </is>
      </c>
      <c r="B219" t="inlineStr">
        <is>
          <t xml:space="preserve">Резиновые сапоги</t>
        </is>
      </c>
      <c r="C219" t="inlineStr">
        <is>
          <t xml:space="preserve">Полусапожки резиновые непромокаемые, серый</t>
        </is>
      </c>
      <c r="D219" t="inlineStr">
        <is>
          <t xml:space="preserve">815серый</t>
        </is>
      </c>
      <c r="E219" t="inlineStr">
        <is>
          <t xml:space="preserve">серый</t>
        </is>
      </c>
      <c r="F219" t="inlineStr">
        <is>
          <t xml:space="preserve">34</t>
        </is>
      </c>
      <c r="G219">
        <v>7</v>
      </c>
      <c r="H219" s="2">
        <v>46.0</v>
      </c>
      <c r="I219" t="inlineStr">
        <is>
          <t xml:space="preserve">100% ПВХ</t>
        </is>
      </c>
      <c r="J219" t="inlineStr">
        <is>
          <t xml:space="preserve">демисезон</t>
        </is>
      </c>
      <c r="K219" t="inlineStr">
        <is>
          <t xml:space="preserve">Китай</t>
        </is>
      </c>
      <c r="L219" t="inlineStr">
        <is>
          <t xml:space="preserve">6401929000</t>
        </is>
      </c>
      <c r="M219" t="inlineStr">
        <is>
          <t xml:space="preserve">Декларация № ЕАЭС KG417/533.Д.0004548, до 27.03.2029</t>
        </is>
      </c>
      <c r="N219" t="inlineStr">
        <is>
          <t xml:space="preserve">33 × 24 × 15</t>
        </is>
      </c>
      <c r="O219" t="inlineStr">
        <is>
          <t xml:space="preserve">0,74</t>
        </is>
      </c>
      <c r="P219" t="inlineStr">
        <is>
          <t xml:space="preserve">4816148151049</t>
        </is>
      </c>
      <c r="Q219" s="3" t="str">
        <f>HYPERLINK("https://modify.by/img/302253599/1.webp","фото")</f>
        <v>фото</v>
      </c>
      <c r="R219" s="3" t="str">
        <f>HYPERLINK("https://modify.by/catalog/rezinovye-sapogi/302253599/?utm_source=price&amp;utm_medium=xlsx","открыть")</f>
        <v>открыть</v>
      </c>
    </row>
    <row r="220">
      <c r="A220" t="inlineStr">
        <is>
          <t xml:space="preserve">Женский</t>
        </is>
      </c>
      <c r="B220" t="inlineStr">
        <is>
          <t xml:space="preserve">Резиновые сапоги</t>
        </is>
      </c>
      <c r="C220" t="inlineStr">
        <is>
          <t xml:space="preserve">Полусапожки резиновые непромокаемые, серый</t>
        </is>
      </c>
      <c r="D220" t="inlineStr">
        <is>
          <t xml:space="preserve">815серый</t>
        </is>
      </c>
      <c r="E220" t="inlineStr">
        <is>
          <t xml:space="preserve">серый</t>
        </is>
      </c>
      <c r="F220" t="inlineStr">
        <is>
          <t xml:space="preserve">35</t>
        </is>
      </c>
      <c r="G220">
        <v>6</v>
      </c>
      <c r="H220" s="2">
        <v>46.0</v>
      </c>
      <c r="I220" t="inlineStr">
        <is>
          <t xml:space="preserve">100% ПВХ</t>
        </is>
      </c>
      <c r="J220" t="inlineStr">
        <is>
          <t xml:space="preserve">демисезон</t>
        </is>
      </c>
      <c r="K220" t="inlineStr">
        <is>
          <t xml:space="preserve">Китай</t>
        </is>
      </c>
      <c r="L220" t="inlineStr">
        <is>
          <t xml:space="preserve">6401929000</t>
        </is>
      </c>
      <c r="M220" t="inlineStr">
        <is>
          <t xml:space="preserve">Декларация № ЕАЭС KG417/533.Д.0004548, до 27.03.2029</t>
        </is>
      </c>
      <c r="N220" t="inlineStr">
        <is>
          <t xml:space="preserve">33 × 24 × 15</t>
        </is>
      </c>
      <c r="O220" t="inlineStr">
        <is>
          <t xml:space="preserve">0,74</t>
        </is>
      </c>
      <c r="P220" t="inlineStr">
        <is>
          <t xml:space="preserve">4816148151056</t>
        </is>
      </c>
      <c r="Q220" s="3" t="str">
        <f>HYPERLINK("https://modify.by/img/302253599/1.webp","фото")</f>
        <v>фото</v>
      </c>
      <c r="R220" s="3" t="str">
        <f>HYPERLINK("https://modify.by/catalog/rezinovye-sapogi/302253599/?utm_source=price&amp;utm_medium=xlsx","открыть")</f>
        <v>открыть</v>
      </c>
    </row>
    <row r="221">
      <c r="A221" t="inlineStr">
        <is>
          <t xml:space="preserve">Женский</t>
        </is>
      </c>
      <c r="B221" t="inlineStr">
        <is>
          <t xml:space="preserve">Резиновые сапоги</t>
        </is>
      </c>
      <c r="C221" t="inlineStr">
        <is>
          <t xml:space="preserve">Полусапожки резиновые непромокаемые, серый</t>
        </is>
      </c>
      <c r="D221" t="inlineStr">
        <is>
          <t xml:space="preserve">815серый</t>
        </is>
      </c>
      <c r="E221" t="inlineStr">
        <is>
          <t xml:space="preserve">серый</t>
        </is>
      </c>
      <c r="F221" t="inlineStr">
        <is>
          <t xml:space="preserve">36</t>
        </is>
      </c>
      <c r="G221">
        <v>30</v>
      </c>
      <c r="H221" s="2">
        <v>46.0</v>
      </c>
      <c r="I221" t="inlineStr">
        <is>
          <t xml:space="preserve">100% ПВХ</t>
        </is>
      </c>
      <c r="J221" t="inlineStr">
        <is>
          <t xml:space="preserve">демисезон</t>
        </is>
      </c>
      <c r="K221" t="inlineStr">
        <is>
          <t xml:space="preserve">Китай</t>
        </is>
      </c>
      <c r="L221" t="inlineStr">
        <is>
          <t xml:space="preserve">6401929000</t>
        </is>
      </c>
      <c r="M221" t="inlineStr">
        <is>
          <t xml:space="preserve">Декларация № ЕАЭС KG417/533.Д.0004548, до 27.03.2029</t>
        </is>
      </c>
      <c r="N221" t="inlineStr">
        <is>
          <t xml:space="preserve">33 × 24 × 15</t>
        </is>
      </c>
      <c r="O221" t="inlineStr">
        <is>
          <t xml:space="preserve">0,74</t>
        </is>
      </c>
      <c r="P221" t="inlineStr">
        <is>
          <t xml:space="preserve">4816148151063</t>
        </is>
      </c>
      <c r="Q221" s="3" t="str">
        <f>HYPERLINK("https://modify.by/img/302253599/1.webp","фото")</f>
        <v>фото</v>
      </c>
      <c r="R221" s="3" t="str">
        <f>HYPERLINK("https://modify.by/catalog/rezinovye-sapogi/302253599/?utm_source=price&amp;utm_medium=xlsx","открыть")</f>
        <v>открыть</v>
      </c>
    </row>
    <row r="222">
      <c r="A222" t="inlineStr">
        <is>
          <t xml:space="preserve">Женский</t>
        </is>
      </c>
      <c r="B222" t="inlineStr">
        <is>
          <t xml:space="preserve">Резиновые сапоги</t>
        </is>
      </c>
      <c r="C222" t="inlineStr">
        <is>
          <t xml:space="preserve">Полусапожки резиновые непромокаемые, серый</t>
        </is>
      </c>
      <c r="D222" t="inlineStr">
        <is>
          <t xml:space="preserve">815серый</t>
        </is>
      </c>
      <c r="E222" t="inlineStr">
        <is>
          <t xml:space="preserve">серый</t>
        </is>
      </c>
      <c r="F222" t="inlineStr">
        <is>
          <t xml:space="preserve">37</t>
        </is>
      </c>
      <c r="G222">
        <v>9</v>
      </c>
      <c r="H222" s="2">
        <v>46.0</v>
      </c>
      <c r="I222" t="inlineStr">
        <is>
          <t xml:space="preserve">100% ПВХ</t>
        </is>
      </c>
      <c r="J222" t="inlineStr">
        <is>
          <t xml:space="preserve">демисезон</t>
        </is>
      </c>
      <c r="K222" t="inlineStr">
        <is>
          <t xml:space="preserve">Китай</t>
        </is>
      </c>
      <c r="L222" t="inlineStr">
        <is>
          <t xml:space="preserve">6401929000</t>
        </is>
      </c>
      <c r="M222" t="inlineStr">
        <is>
          <t xml:space="preserve">Декларация № ЕАЭС KG417/533.Д.0004548, до 27.03.2029</t>
        </is>
      </c>
      <c r="N222" t="inlineStr">
        <is>
          <t xml:space="preserve">33 × 24 × 15</t>
        </is>
      </c>
      <c r="O222" t="inlineStr">
        <is>
          <t xml:space="preserve">0,74</t>
        </is>
      </c>
      <c r="P222" t="inlineStr">
        <is>
          <t xml:space="preserve">4816148151070</t>
        </is>
      </c>
      <c r="Q222" s="3" t="str">
        <f>HYPERLINK("https://modify.by/img/302253599/1.webp","фото")</f>
        <v>фото</v>
      </c>
      <c r="R222" s="3" t="str">
        <f>HYPERLINK("https://modify.by/catalog/rezinovye-sapogi/302253599/?utm_source=price&amp;utm_medium=xlsx","открыть")</f>
        <v>открыть</v>
      </c>
    </row>
    <row r="223">
      <c r="A223" t="inlineStr">
        <is>
          <t xml:space="preserve">Женский</t>
        </is>
      </c>
      <c r="B223" t="inlineStr">
        <is>
          <t xml:space="preserve">Резиновые сапоги</t>
        </is>
      </c>
      <c r="C223" t="inlineStr">
        <is>
          <t xml:space="preserve">Полусапожки резиновые непромокаемые, серый</t>
        </is>
      </c>
      <c r="D223" t="inlineStr">
        <is>
          <t xml:space="preserve">815серый</t>
        </is>
      </c>
      <c r="E223" t="inlineStr">
        <is>
          <t xml:space="preserve">серый</t>
        </is>
      </c>
      <c r="F223" t="inlineStr">
        <is>
          <t xml:space="preserve">38</t>
        </is>
      </c>
      <c r="G223">
        <v>8</v>
      </c>
      <c r="H223" s="2">
        <v>46.0</v>
      </c>
      <c r="I223" t="inlineStr">
        <is>
          <t xml:space="preserve">100% ПВХ</t>
        </is>
      </c>
      <c r="J223" t="inlineStr">
        <is>
          <t xml:space="preserve">демисезон</t>
        </is>
      </c>
      <c r="K223" t="inlineStr">
        <is>
          <t xml:space="preserve">Китай</t>
        </is>
      </c>
      <c r="L223" t="inlineStr">
        <is>
          <t xml:space="preserve">6401929000</t>
        </is>
      </c>
      <c r="M223" t="inlineStr">
        <is>
          <t xml:space="preserve">Декларация № ЕАЭС KG417/533.Д.0004548, до 27.03.2029</t>
        </is>
      </c>
      <c r="N223" t="inlineStr">
        <is>
          <t xml:space="preserve">33 × 24 × 15</t>
        </is>
      </c>
      <c r="O223" t="inlineStr">
        <is>
          <t xml:space="preserve">0,74</t>
        </is>
      </c>
      <c r="P223" t="inlineStr">
        <is>
          <t xml:space="preserve">4816148151087</t>
        </is>
      </c>
      <c r="Q223" s="3" t="str">
        <f>HYPERLINK("https://modify.by/img/302253599/1.webp","фото")</f>
        <v>фото</v>
      </c>
      <c r="R223" s="3" t="str">
        <f>HYPERLINK("https://modify.by/catalog/rezinovye-sapogi/302253599/?utm_source=price&amp;utm_medium=xlsx","открыть")</f>
        <v>открыть</v>
      </c>
    </row>
    <row r="224">
      <c r="A224" t="inlineStr">
        <is>
          <t xml:space="preserve">Женский</t>
        </is>
      </c>
      <c r="B224" t="inlineStr">
        <is>
          <t xml:space="preserve">Резиновые сапоги</t>
        </is>
      </c>
      <c r="C224" t="inlineStr">
        <is>
          <t xml:space="preserve">Полусапожки резиновые непромокаемые, серый</t>
        </is>
      </c>
      <c r="D224" t="inlineStr">
        <is>
          <t xml:space="preserve">815серый</t>
        </is>
      </c>
      <c r="E224" t="inlineStr">
        <is>
          <t xml:space="preserve">серый</t>
        </is>
      </c>
      <c r="F224" t="inlineStr">
        <is>
          <t xml:space="preserve">39</t>
        </is>
      </c>
      <c r="G224">
        <v>13</v>
      </c>
      <c r="H224" s="2">
        <v>46.0</v>
      </c>
      <c r="I224" t="inlineStr">
        <is>
          <t xml:space="preserve">100% ПВХ</t>
        </is>
      </c>
      <c r="J224" t="inlineStr">
        <is>
          <t xml:space="preserve">демисезон</t>
        </is>
      </c>
      <c r="K224" t="inlineStr">
        <is>
          <t xml:space="preserve">Китай</t>
        </is>
      </c>
      <c r="L224" t="inlineStr">
        <is>
          <t xml:space="preserve">6401929000</t>
        </is>
      </c>
      <c r="M224" t="inlineStr">
        <is>
          <t xml:space="preserve">Декларация № ЕАЭС KG417/533.Д.0004548, до 27.03.2029</t>
        </is>
      </c>
      <c r="N224" t="inlineStr">
        <is>
          <t xml:space="preserve">33 × 24 × 15</t>
        </is>
      </c>
      <c r="O224" t="inlineStr">
        <is>
          <t xml:space="preserve">0,74</t>
        </is>
      </c>
      <c r="P224" t="inlineStr">
        <is>
          <t xml:space="preserve">4816148151094</t>
        </is>
      </c>
      <c r="Q224" s="3" t="str">
        <f>HYPERLINK("https://modify.by/img/302253599/1.webp","фото")</f>
        <v>фото</v>
      </c>
      <c r="R224" s="3" t="str">
        <f>HYPERLINK("https://modify.by/catalog/rezinovye-sapogi/302253599/?utm_source=price&amp;utm_medium=xlsx","открыть")</f>
        <v>открыть</v>
      </c>
    </row>
    <row r="225">
      <c r="A225" t="inlineStr">
        <is>
          <t xml:space="preserve">Женский</t>
        </is>
      </c>
      <c r="B225" t="inlineStr">
        <is>
          <t xml:space="preserve">Резиновые сапоги</t>
        </is>
      </c>
      <c r="C225" t="inlineStr">
        <is>
          <t xml:space="preserve">Полусапожки резиновые непромокаемые, черный</t>
        </is>
      </c>
      <c r="D225" t="inlineStr">
        <is>
          <t xml:space="preserve">815черный</t>
        </is>
      </c>
      <c r="E225" t="inlineStr">
        <is>
          <t xml:space="preserve">черный</t>
        </is>
      </c>
      <c r="F225" t="inlineStr">
        <is>
          <t xml:space="preserve">34</t>
        </is>
      </c>
      <c r="G225">
        <v>6</v>
      </c>
      <c r="H225" s="2">
        <v>46.0</v>
      </c>
      <c r="I225" t="inlineStr">
        <is>
          <t xml:space="preserve">100% ПВХ</t>
        </is>
      </c>
      <c r="J225" t="inlineStr">
        <is>
          <t xml:space="preserve">демисезон</t>
        </is>
      </c>
      <c r="K225" t="inlineStr">
        <is>
          <t xml:space="preserve">Китай</t>
        </is>
      </c>
      <c r="L225" t="inlineStr">
        <is>
          <t xml:space="preserve">6401929000</t>
        </is>
      </c>
      <c r="M225" t="inlineStr">
        <is>
          <t xml:space="preserve">Декларация № ЕАЭС KG417/533.Д.0004548, до 27.03.2029</t>
        </is>
      </c>
      <c r="N225" t="inlineStr">
        <is>
          <t xml:space="preserve">33 × 24 × 15</t>
        </is>
      </c>
      <c r="O225" t="inlineStr">
        <is>
          <t xml:space="preserve">0,74</t>
        </is>
      </c>
      <c r="P225" t="inlineStr">
        <is>
          <t xml:space="preserve">4816148151100</t>
        </is>
      </c>
      <c r="Q225" s="3" t="str">
        <f>HYPERLINK("https://modify.by/img/302253601/1.webp","фото")</f>
        <v>фото</v>
      </c>
      <c r="R225" s="3" t="str">
        <f>HYPERLINK("https://modify.by/catalog/rezinovye-sapogi/302253601/?utm_source=price&amp;utm_medium=xlsx","открыть")</f>
        <v>открыть</v>
      </c>
    </row>
    <row r="226">
      <c r="A226" t="inlineStr">
        <is>
          <t xml:space="preserve">Женский</t>
        </is>
      </c>
      <c r="B226" t="inlineStr">
        <is>
          <t xml:space="preserve">Резиновые сапоги</t>
        </is>
      </c>
      <c r="C226" t="inlineStr">
        <is>
          <t xml:space="preserve">Полусапожки резиновые непромокаемые, черный</t>
        </is>
      </c>
      <c r="D226" t="inlineStr">
        <is>
          <t xml:space="preserve">815черный</t>
        </is>
      </c>
      <c r="E226" t="inlineStr">
        <is>
          <t xml:space="preserve">черный</t>
        </is>
      </c>
      <c r="F226" t="inlineStr">
        <is>
          <t xml:space="preserve">36</t>
        </is>
      </c>
      <c r="G226">
        <v>16</v>
      </c>
      <c r="H226" s="2">
        <v>46.0</v>
      </c>
      <c r="I226" t="inlineStr">
        <is>
          <t xml:space="preserve">100% ПВХ</t>
        </is>
      </c>
      <c r="J226" t="inlineStr">
        <is>
          <t xml:space="preserve">демисезон</t>
        </is>
      </c>
      <c r="K226" t="inlineStr">
        <is>
          <t xml:space="preserve">Китай</t>
        </is>
      </c>
      <c r="L226" t="inlineStr">
        <is>
          <t xml:space="preserve">6401929000</t>
        </is>
      </c>
      <c r="M226" t="inlineStr">
        <is>
          <t xml:space="preserve">Декларация № ЕАЭС KG417/533.Д.0004548, до 27.03.2029</t>
        </is>
      </c>
      <c r="N226" t="inlineStr">
        <is>
          <t xml:space="preserve">33 × 24 × 15</t>
        </is>
      </c>
      <c r="O226" t="inlineStr">
        <is>
          <t xml:space="preserve">0,74</t>
        </is>
      </c>
      <c r="P226" t="inlineStr">
        <is>
          <t xml:space="preserve">4816148151124</t>
        </is>
      </c>
      <c r="Q226" s="3" t="str">
        <f>HYPERLINK("https://modify.by/img/302253601/1.webp","фото")</f>
        <v>фото</v>
      </c>
      <c r="R226" s="3" t="str">
        <f>HYPERLINK("https://modify.by/catalog/rezinovye-sapogi/302253601/?utm_source=price&amp;utm_medium=xlsx","открыть")</f>
        <v>открыть</v>
      </c>
    </row>
    <row r="227">
      <c r="A227" t="inlineStr">
        <is>
          <t xml:space="preserve">Женский</t>
        </is>
      </c>
      <c r="B227" t="inlineStr">
        <is>
          <t xml:space="preserve">Резиновые сапоги</t>
        </is>
      </c>
      <c r="C227" t="inlineStr">
        <is>
          <t xml:space="preserve">Полусапожки резиновые непромокаемые, черный</t>
        </is>
      </c>
      <c r="D227" t="inlineStr">
        <is>
          <t xml:space="preserve">815черный</t>
        </is>
      </c>
      <c r="E227" t="inlineStr">
        <is>
          <t xml:space="preserve">черный</t>
        </is>
      </c>
      <c r="F227" t="inlineStr">
        <is>
          <t xml:space="preserve">37</t>
        </is>
      </c>
      <c r="G227">
        <v>15</v>
      </c>
      <c r="H227" s="2">
        <v>46.0</v>
      </c>
      <c r="I227" t="inlineStr">
        <is>
          <t xml:space="preserve">100% ПВХ</t>
        </is>
      </c>
      <c r="J227" t="inlineStr">
        <is>
          <t xml:space="preserve">демисезон</t>
        </is>
      </c>
      <c r="K227" t="inlineStr">
        <is>
          <t xml:space="preserve">Китай</t>
        </is>
      </c>
      <c r="L227" t="inlineStr">
        <is>
          <t xml:space="preserve">6401929000</t>
        </is>
      </c>
      <c r="M227" t="inlineStr">
        <is>
          <t xml:space="preserve">Декларация № ЕАЭС KG417/533.Д.0004548, до 27.03.2029</t>
        </is>
      </c>
      <c r="N227" t="inlineStr">
        <is>
          <t xml:space="preserve">33 × 24 × 15</t>
        </is>
      </c>
      <c r="O227" t="inlineStr">
        <is>
          <t xml:space="preserve">0,74</t>
        </is>
      </c>
      <c r="P227" t="inlineStr">
        <is>
          <t xml:space="preserve">4816148151131</t>
        </is>
      </c>
      <c r="Q227" s="3" t="str">
        <f>HYPERLINK("https://modify.by/img/302253601/1.webp","фото")</f>
        <v>фото</v>
      </c>
      <c r="R227" s="3" t="str">
        <f>HYPERLINK("https://modify.by/catalog/rezinovye-sapogi/302253601/?utm_source=price&amp;utm_medium=xlsx","открыть")</f>
        <v>открыть</v>
      </c>
    </row>
    <row r="228">
      <c r="A228" t="inlineStr">
        <is>
          <t xml:space="preserve">Женский</t>
        </is>
      </c>
      <c r="B228" t="inlineStr">
        <is>
          <t xml:space="preserve">Резиновые сапоги</t>
        </is>
      </c>
      <c r="C228" t="inlineStr">
        <is>
          <t xml:space="preserve">Полусапожки резиновые непромокаемые, черный</t>
        </is>
      </c>
      <c r="D228" t="inlineStr">
        <is>
          <t xml:space="preserve">815черный</t>
        </is>
      </c>
      <c r="E228" t="inlineStr">
        <is>
          <t xml:space="preserve">черный</t>
        </is>
      </c>
      <c r="F228" t="inlineStr">
        <is>
          <t xml:space="preserve">39</t>
        </is>
      </c>
      <c r="G228">
        <v>18</v>
      </c>
      <c r="H228" s="2">
        <v>46.0</v>
      </c>
      <c r="I228" t="inlineStr">
        <is>
          <t xml:space="preserve">100% ПВХ</t>
        </is>
      </c>
      <c r="J228" t="inlineStr">
        <is>
          <t xml:space="preserve">демисезон</t>
        </is>
      </c>
      <c r="K228" t="inlineStr">
        <is>
          <t xml:space="preserve">Китай</t>
        </is>
      </c>
      <c r="L228" t="inlineStr">
        <is>
          <t xml:space="preserve">6401929000</t>
        </is>
      </c>
      <c r="M228" t="inlineStr">
        <is>
          <t xml:space="preserve">Декларация № ЕАЭС KG417/533.Д.0004548, до 27.03.2029</t>
        </is>
      </c>
      <c r="N228" t="inlineStr">
        <is>
          <t xml:space="preserve">33 × 24 × 15</t>
        </is>
      </c>
      <c r="O228" t="inlineStr">
        <is>
          <t xml:space="preserve">0,74</t>
        </is>
      </c>
      <c r="P228" t="inlineStr">
        <is>
          <t xml:space="preserve">4816148151155</t>
        </is>
      </c>
      <c r="Q228" s="3" t="str">
        <f>HYPERLINK("https://modify.by/img/302253601/1.webp","фото")</f>
        <v>фото</v>
      </c>
      <c r="R228" s="3" t="str">
        <f>HYPERLINK("https://modify.by/catalog/rezinovye-sapogi/302253601/?utm_source=price&amp;utm_medium=xlsx","открыть")</f>
        <v>открыть</v>
      </c>
    </row>
    <row r="229">
      <c r="A229" t="inlineStr">
        <is>
          <t xml:space="preserve">Женский</t>
        </is>
      </c>
      <c r="B229" t="inlineStr">
        <is>
          <t xml:space="preserve">Резиновые сапоги</t>
        </is>
      </c>
      <c r="C229" t="inlineStr">
        <is>
          <t xml:space="preserve">Сапоги непромокаемые короткие ЭВА, серый</t>
        </is>
      </c>
      <c r="D229" t="inlineStr">
        <is>
          <t xml:space="preserve">814серый39</t>
        </is>
      </c>
      <c r="E229" t="inlineStr">
        <is>
          <t xml:space="preserve">серый</t>
        </is>
      </c>
      <c r="F229" t="inlineStr">
        <is>
          <t xml:space="preserve">36</t>
        </is>
      </c>
      <c r="G229">
        <v>17</v>
      </c>
      <c r="H229" s="2">
        <v>42.0</v>
      </c>
      <c r="I229" t="inlineStr">
        <is>
          <t xml:space="preserve">100% ПВХ</t>
        </is>
      </c>
      <c r="J229" t="inlineStr">
        <is>
          <t xml:space="preserve">демисезон</t>
        </is>
      </c>
      <c r="K229" t="inlineStr">
        <is>
          <t xml:space="preserve">Китай</t>
        </is>
      </c>
      <c r="L229" t="inlineStr">
        <is>
          <t xml:space="preserve">6401929000</t>
        </is>
      </c>
      <c r="M229" t="inlineStr">
        <is>
          <t xml:space="preserve">Декларация № ЕАЭС KG417/533.Д.0004548, до 27.03.2029</t>
        </is>
      </c>
      <c r="N229" t="inlineStr">
        <is>
          <t xml:space="preserve">31 × 22 × 8</t>
        </is>
      </c>
      <c r="O229" t="inlineStr">
        <is>
          <t xml:space="preserve">0,7</t>
        </is>
      </c>
      <c r="P229" t="inlineStr">
        <is>
          <t xml:space="preserve">4816148150851</t>
        </is>
      </c>
      <c r="Q229" s="3" t="str">
        <f>HYPERLINK("https://modify.by/img/227804020/1.webp","фото")</f>
        <v>фото</v>
      </c>
      <c r="R229" s="3" t="str">
        <f>HYPERLINK("https://modify.by/catalog/rezinovye-sapogi/227804020/?utm_source=price&amp;utm_medium=xlsx","открыть")</f>
        <v>открыть</v>
      </c>
    </row>
    <row r="230">
      <c r="A230" t="inlineStr">
        <is>
          <t xml:space="preserve">Женский</t>
        </is>
      </c>
      <c r="B230" t="inlineStr">
        <is>
          <t xml:space="preserve">Резиновые сапоги</t>
        </is>
      </c>
      <c r="C230" t="inlineStr">
        <is>
          <t xml:space="preserve">Сапоги непромокаемые короткие ЭВА, серый</t>
        </is>
      </c>
      <c r="D230" t="inlineStr">
        <is>
          <t xml:space="preserve">814серый39</t>
        </is>
      </c>
      <c r="E230" t="inlineStr">
        <is>
          <t xml:space="preserve">серый</t>
        </is>
      </c>
      <c r="F230" t="inlineStr">
        <is>
          <t xml:space="preserve">38</t>
        </is>
      </c>
      <c r="G230">
        <v>11</v>
      </c>
      <c r="H230" s="2">
        <v>42.0</v>
      </c>
      <c r="I230" t="inlineStr">
        <is>
          <t xml:space="preserve">100% ПВХ</t>
        </is>
      </c>
      <c r="J230" t="inlineStr">
        <is>
          <t xml:space="preserve">демисезон</t>
        </is>
      </c>
      <c r="K230" t="inlineStr">
        <is>
          <t xml:space="preserve">Китай</t>
        </is>
      </c>
      <c r="L230" t="inlineStr">
        <is>
          <t xml:space="preserve">6401929000</t>
        </is>
      </c>
      <c r="M230" t="inlineStr">
        <is>
          <t xml:space="preserve">Декларация № ЕАЭС KG417/533.Д.0004548, до 27.03.2029</t>
        </is>
      </c>
      <c r="N230" t="inlineStr">
        <is>
          <t xml:space="preserve">31 × 22 × 8</t>
        </is>
      </c>
      <c r="O230" t="inlineStr">
        <is>
          <t xml:space="preserve">0,7</t>
        </is>
      </c>
      <c r="P230" t="inlineStr">
        <is>
          <t xml:space="preserve">4816148150875</t>
        </is>
      </c>
      <c r="Q230" s="3" t="str">
        <f>HYPERLINK("https://modify.by/img/227804020/1.webp","фото")</f>
        <v>фото</v>
      </c>
      <c r="R230" s="3" t="str">
        <f>HYPERLINK("https://modify.by/catalog/rezinovye-sapogi/227804020/?utm_source=price&amp;utm_medium=xlsx","открыть")</f>
        <v>открыть</v>
      </c>
    </row>
    <row r="231">
      <c r="A231" t="inlineStr">
        <is>
          <t xml:space="preserve">Женский</t>
        </is>
      </c>
      <c r="B231" t="inlineStr">
        <is>
          <t xml:space="preserve">Резиновые сапоги</t>
        </is>
      </c>
      <c r="C231" t="inlineStr">
        <is>
          <t xml:space="preserve">Сапоги непромокаемые короткие ЭВА, черный, арт. 814черный36</t>
        </is>
      </c>
      <c r="D231" t="inlineStr">
        <is>
          <t xml:space="preserve">814черный36</t>
        </is>
      </c>
      <c r="E231" t="inlineStr">
        <is>
          <t xml:space="preserve">черный</t>
        </is>
      </c>
      <c r="F231" t="inlineStr">
        <is>
          <t xml:space="preserve">35</t>
        </is>
      </c>
      <c r="G231">
        <v>15</v>
      </c>
      <c r="H231" s="2">
        <v>42.0</v>
      </c>
      <c r="I231" t="inlineStr">
        <is>
          <t xml:space="preserve">100% ПВХ</t>
        </is>
      </c>
      <c r="J231" t="inlineStr">
        <is>
          <t xml:space="preserve">демисезон</t>
        </is>
      </c>
      <c r="K231" t="inlineStr">
        <is>
          <t xml:space="preserve">Китай</t>
        </is>
      </c>
      <c r="L231" t="inlineStr">
        <is>
          <t xml:space="preserve">6401929000</t>
        </is>
      </c>
      <c r="M231" t="inlineStr">
        <is>
          <t xml:space="preserve">Декларация № ЕАЭС KG417/533.Д.0004548, до 27.03.2029</t>
        </is>
      </c>
      <c r="N231" t="inlineStr">
        <is>
          <t xml:space="preserve">31 × 22 × 8</t>
        </is>
      </c>
      <c r="O231" t="inlineStr">
        <is>
          <t xml:space="preserve">0,7</t>
        </is>
      </c>
      <c r="P231" t="inlineStr">
        <is>
          <t xml:space="preserve">4816148100221</t>
        </is>
      </c>
      <c r="Q231" s="3" t="str">
        <f>HYPERLINK("https://modify.by/img/227803927/1.webp","фото")</f>
        <v>фото</v>
      </c>
      <c r="R231" s="3" t="str">
        <f>HYPERLINK("https://modify.by/catalog/rezinovye-sapogi/227803927/?utm_source=price&amp;utm_medium=xlsx","открыть")</f>
        <v>открыть</v>
      </c>
    </row>
    <row r="232">
      <c r="A232" t="inlineStr">
        <is>
          <t xml:space="preserve">Женский</t>
        </is>
      </c>
      <c r="B232" t="inlineStr">
        <is>
          <t xml:space="preserve">Резиновые сапоги</t>
        </is>
      </c>
      <c r="C232" t="inlineStr">
        <is>
          <t xml:space="preserve">Сапоги непромокаемые короткие ЭВА, черный, арт. 814черный36</t>
        </is>
      </c>
      <c r="D232" t="inlineStr">
        <is>
          <t xml:space="preserve">814черный36</t>
        </is>
      </c>
      <c r="E232" t="inlineStr">
        <is>
          <t xml:space="preserve">черный</t>
        </is>
      </c>
      <c r="F232" t="inlineStr">
        <is>
          <t xml:space="preserve">36</t>
        </is>
      </c>
      <c r="G232">
        <v>1</v>
      </c>
      <c r="H232" s="2">
        <v>42.0</v>
      </c>
      <c r="I232" t="inlineStr">
        <is>
          <t xml:space="preserve">100% ПВХ</t>
        </is>
      </c>
      <c r="J232" t="inlineStr">
        <is>
          <t xml:space="preserve">демисезон</t>
        </is>
      </c>
      <c r="K232" t="inlineStr">
        <is>
          <t xml:space="preserve">Китай</t>
        </is>
      </c>
      <c r="L232" t="inlineStr">
        <is>
          <t xml:space="preserve">6401929000</t>
        </is>
      </c>
      <c r="M232" t="inlineStr">
        <is>
          <t xml:space="preserve">Декларация № ЕАЭС KG417/533.Д.0004548, до 27.03.2029</t>
        </is>
      </c>
      <c r="N232" t="inlineStr">
        <is>
          <t xml:space="preserve">31 × 22 × 8</t>
        </is>
      </c>
      <c r="O232" t="inlineStr">
        <is>
          <t xml:space="preserve">0,7</t>
        </is>
      </c>
      <c r="P232" t="inlineStr">
        <is>
          <t xml:space="preserve">4816148150899</t>
        </is>
      </c>
      <c r="Q232" s="3" t="str">
        <f>HYPERLINK("https://modify.by/img/227803927/1.webp","фото")</f>
        <v>фото</v>
      </c>
      <c r="R232" s="3" t="str">
        <f>HYPERLINK("https://modify.by/catalog/rezinovye-sapogi/227803927/?utm_source=price&amp;utm_medium=xlsx","открыть")</f>
        <v>открыть</v>
      </c>
    </row>
    <row r="233">
      <c r="A233" t="inlineStr">
        <is>
          <t xml:space="preserve">Женский</t>
        </is>
      </c>
      <c r="B233" t="inlineStr">
        <is>
          <t xml:space="preserve">Резиновые сапоги</t>
        </is>
      </c>
      <c r="C233" t="inlineStr">
        <is>
          <t xml:space="preserve">Сапоги непромокаемые короткие ЭВА, черный, арт. 814черный36</t>
        </is>
      </c>
      <c r="D233" t="inlineStr">
        <is>
          <t xml:space="preserve">814черный36</t>
        </is>
      </c>
      <c r="E233" t="inlineStr">
        <is>
          <t xml:space="preserve">черный</t>
        </is>
      </c>
      <c r="F233" t="inlineStr">
        <is>
          <t xml:space="preserve">37</t>
        </is>
      </c>
      <c r="G233">
        <v>15</v>
      </c>
      <c r="H233" s="2">
        <v>42.0</v>
      </c>
      <c r="I233" t="inlineStr">
        <is>
          <t xml:space="preserve">100% ПВХ</t>
        </is>
      </c>
      <c r="J233" t="inlineStr">
        <is>
          <t xml:space="preserve">демисезон</t>
        </is>
      </c>
      <c r="K233" t="inlineStr">
        <is>
          <t xml:space="preserve">Китай</t>
        </is>
      </c>
      <c r="L233" t="inlineStr">
        <is>
          <t xml:space="preserve">6401929000</t>
        </is>
      </c>
      <c r="M233" t="inlineStr">
        <is>
          <t xml:space="preserve">Декларация № ЕАЭС KG417/533.Д.0004548, до 27.03.2029</t>
        </is>
      </c>
      <c r="N233" t="inlineStr">
        <is>
          <t xml:space="preserve">31 × 22 × 8</t>
        </is>
      </c>
      <c r="O233" t="inlineStr">
        <is>
          <t xml:space="preserve">0,7</t>
        </is>
      </c>
      <c r="P233" t="inlineStr">
        <is>
          <t xml:space="preserve">4816148100269</t>
        </is>
      </c>
      <c r="Q233" s="3" t="str">
        <f>HYPERLINK("https://modify.by/img/227803927/1.webp","фото")</f>
        <v>фото</v>
      </c>
      <c r="R233" s="3" t="str">
        <f>HYPERLINK("https://modify.by/catalog/rezinovye-sapogi/227803927/?utm_source=price&amp;utm_medium=xlsx","открыть")</f>
        <v>открыть</v>
      </c>
    </row>
    <row r="234">
      <c r="A234" t="inlineStr">
        <is>
          <t xml:space="preserve">Женский</t>
        </is>
      </c>
      <c r="B234" t="inlineStr">
        <is>
          <t xml:space="preserve">Резиновые сапоги</t>
        </is>
      </c>
      <c r="C234" t="inlineStr">
        <is>
          <t xml:space="preserve">Сапоги непромокаемые короткие ЭВА, черный, арт. 814черный36</t>
        </is>
      </c>
      <c r="D234" t="inlineStr">
        <is>
          <t xml:space="preserve">814черный36</t>
        </is>
      </c>
      <c r="E234" t="inlineStr">
        <is>
          <t xml:space="preserve">черный</t>
        </is>
      </c>
      <c r="F234" t="inlineStr">
        <is>
          <t xml:space="preserve">37</t>
        </is>
      </c>
      <c r="G234">
        <v>19</v>
      </c>
      <c r="H234" s="2">
        <v>42.0</v>
      </c>
      <c r="I234" t="inlineStr">
        <is>
          <t xml:space="preserve">100% ПВХ</t>
        </is>
      </c>
      <c r="J234" t="inlineStr">
        <is>
          <t xml:space="preserve">демисезон</t>
        </is>
      </c>
      <c r="K234" t="inlineStr">
        <is>
          <t xml:space="preserve">Китай</t>
        </is>
      </c>
      <c r="L234" t="inlineStr">
        <is>
          <t xml:space="preserve">6401929000</t>
        </is>
      </c>
      <c r="M234" t="inlineStr">
        <is>
          <t xml:space="preserve">Декларация № ЕАЭС KG417/533.Д.0004548, до 27.03.2029</t>
        </is>
      </c>
      <c r="N234" t="inlineStr">
        <is>
          <t xml:space="preserve">31 × 22 × 8</t>
        </is>
      </c>
      <c r="O234" t="inlineStr">
        <is>
          <t xml:space="preserve">0,7</t>
        </is>
      </c>
      <c r="P234" t="inlineStr">
        <is>
          <t xml:space="preserve">4816148150905</t>
        </is>
      </c>
      <c r="Q234" s="3" t="str">
        <f>HYPERLINK("https://modify.by/img/227803927/1.webp","фото")</f>
        <v>фото</v>
      </c>
      <c r="R234" s="3" t="str">
        <f>HYPERLINK("https://modify.by/catalog/rezinovye-sapogi/227803927/?utm_source=price&amp;utm_medium=xlsx","открыть")</f>
        <v>открыть</v>
      </c>
    </row>
    <row r="235">
      <c r="A235" t="inlineStr">
        <is>
          <t xml:space="preserve">Женский</t>
        </is>
      </c>
      <c r="B235" t="inlineStr">
        <is>
          <t xml:space="preserve">Резиновые сапоги</t>
        </is>
      </c>
      <c r="C235" t="inlineStr">
        <is>
          <t xml:space="preserve">Сапоги непромокаемые короткие ЭВА, черный, арт. 814черный36</t>
        </is>
      </c>
      <c r="D235" t="inlineStr">
        <is>
          <t xml:space="preserve">814черный36</t>
        </is>
      </c>
      <c r="E235" t="inlineStr">
        <is>
          <t xml:space="preserve">черный</t>
        </is>
      </c>
      <c r="F235" t="inlineStr">
        <is>
          <t xml:space="preserve">39</t>
        </is>
      </c>
      <c r="G235">
        <v>25</v>
      </c>
      <c r="H235" s="2">
        <v>42.0</v>
      </c>
      <c r="I235" t="inlineStr">
        <is>
          <t xml:space="preserve">100% ПВХ</t>
        </is>
      </c>
      <c r="J235" t="inlineStr">
        <is>
          <t xml:space="preserve">демисезон</t>
        </is>
      </c>
      <c r="K235" t="inlineStr">
        <is>
          <t xml:space="preserve">Китай</t>
        </is>
      </c>
      <c r="L235" t="inlineStr">
        <is>
          <t xml:space="preserve">6401929000</t>
        </is>
      </c>
      <c r="M235" t="inlineStr">
        <is>
          <t xml:space="preserve">Декларация № ЕАЭС KG417/533.Д.0004548, до 27.03.2029</t>
        </is>
      </c>
      <c r="N235" t="inlineStr">
        <is>
          <t xml:space="preserve">31 × 22 × 8</t>
        </is>
      </c>
      <c r="O235" t="inlineStr">
        <is>
          <t xml:space="preserve">0,7</t>
        </is>
      </c>
      <c r="P235" t="inlineStr">
        <is>
          <t xml:space="preserve">4816148100207</t>
        </is>
      </c>
      <c r="Q235" s="3" t="str">
        <f>HYPERLINK("https://modify.by/img/227803927/1.webp","фото")</f>
        <v>фото</v>
      </c>
      <c r="R235" s="3" t="str">
        <f>HYPERLINK("https://modify.by/catalog/rezinovye-sapogi/227803927/?utm_source=price&amp;utm_medium=xlsx","открыть")</f>
        <v>открыть</v>
      </c>
    </row>
    <row r="236">
      <c r="A236" t="inlineStr">
        <is>
          <t xml:space="preserve">Женский</t>
        </is>
      </c>
      <c r="B236" t="inlineStr">
        <is>
          <t xml:space="preserve">Резиновые сапоги</t>
        </is>
      </c>
      <c r="C236" t="inlineStr">
        <is>
          <t xml:space="preserve">Сапоги непромокаемые короткие ЭВА, черный, арт. 814черный36</t>
        </is>
      </c>
      <c r="D236" t="inlineStr">
        <is>
          <t xml:space="preserve">814черный36</t>
        </is>
      </c>
      <c r="E236" t="inlineStr">
        <is>
          <t xml:space="preserve">черный</t>
        </is>
      </c>
      <c r="F236" t="inlineStr">
        <is>
          <t xml:space="preserve">40</t>
        </is>
      </c>
      <c r="G236">
        <v>30</v>
      </c>
      <c r="H236" s="2">
        <v>42.0</v>
      </c>
      <c r="I236" t="inlineStr">
        <is>
          <t xml:space="preserve">100% ПВХ</t>
        </is>
      </c>
      <c r="J236" t="inlineStr">
        <is>
          <t xml:space="preserve">демисезон</t>
        </is>
      </c>
      <c r="K236" t="inlineStr">
        <is>
          <t xml:space="preserve">Китай</t>
        </is>
      </c>
      <c r="L236" t="inlineStr">
        <is>
          <t xml:space="preserve">6401929000</t>
        </is>
      </c>
      <c r="M236" t="inlineStr">
        <is>
          <t xml:space="preserve">Декларация № ЕАЭС KG417/533.Д.0004548, до 27.03.2029</t>
        </is>
      </c>
      <c r="N236" t="inlineStr">
        <is>
          <t xml:space="preserve">31 × 22 × 8</t>
        </is>
      </c>
      <c r="O236" t="inlineStr">
        <is>
          <t xml:space="preserve">0,7</t>
        </is>
      </c>
      <c r="P236" t="inlineStr">
        <is>
          <t xml:space="preserve">4816148150912</t>
        </is>
      </c>
      <c r="Q236" s="3" t="str">
        <f>HYPERLINK("https://modify.by/img/227803927/1.webp","фото")</f>
        <v>фото</v>
      </c>
      <c r="R236" s="3" t="str">
        <f>HYPERLINK("https://modify.by/catalog/rezinovye-sapogi/227803927/?utm_source=price&amp;utm_medium=xlsx","открыть")</f>
        <v>открыть</v>
      </c>
    </row>
    <row r="237">
      <c r="A237" t="inlineStr">
        <is>
          <t xml:space="preserve">Женский</t>
        </is>
      </c>
      <c r="B237" t="inlineStr">
        <is>
          <t xml:space="preserve">Резиновые сапоги</t>
        </is>
      </c>
      <c r="C237" t="inlineStr">
        <is>
          <t xml:space="preserve">Сапоги резиновые повседневные</t>
        </is>
      </c>
      <c r="D237" t="inlineStr">
        <is>
          <t xml:space="preserve">1688бежевый35</t>
        </is>
      </c>
      <c r="E237" t="inlineStr">
        <is>
          <t xml:space="preserve">бежевый</t>
        </is>
      </c>
      <c r="F237" t="inlineStr">
        <is>
          <t xml:space="preserve">35</t>
        </is>
      </c>
      <c r="G237">
        <v>3</v>
      </c>
      <c r="H237" s="2">
        <v>53.0</v>
      </c>
      <c r="I237" t="inlineStr">
        <is>
          <t xml:space="preserve">100% ПВХ</t>
        </is>
      </c>
      <c r="J237" t="inlineStr">
        <is>
          <t xml:space="preserve">демисезон</t>
        </is>
      </c>
      <c r="K237" t="inlineStr">
        <is>
          <t xml:space="preserve">Китай</t>
        </is>
      </c>
      <c r="L237" t="inlineStr">
        <is>
          <t xml:space="preserve">6401929000</t>
        </is>
      </c>
      <c r="M237" t="inlineStr">
        <is>
          <t xml:space="preserve">по запросу</t>
        </is>
      </c>
      <c r="N237" t="inlineStr">
        <is>
          <t xml:space="preserve">27 × 32 × 10</t>
        </is>
      </c>
      <c r="O237" t="inlineStr">
        <is>
          <t xml:space="preserve">0,48</t>
        </is>
      </c>
      <c r="P237" t="inlineStr">
        <is>
          <t xml:space="preserve">4816148100108</t>
        </is>
      </c>
      <c r="Q237" s="3" t="str">
        <f>HYPERLINK("https://modify.by/img/227804032/1.webp","фото")</f>
        <v>фото</v>
      </c>
      <c r="R237" s="3" t="str">
        <f>HYPERLINK("https://modify.by/catalog/rezinovye-sapogi/227804032/?utm_source=price&amp;utm_medium=xlsx","открыть")</f>
        <v>открыть</v>
      </c>
    </row>
    <row r="238">
      <c r="A238" t="inlineStr">
        <is>
          <t xml:space="preserve">Женский</t>
        </is>
      </c>
      <c r="B238" t="inlineStr">
        <is>
          <t xml:space="preserve">Резиновые сапоги</t>
        </is>
      </c>
      <c r="C238" t="inlineStr">
        <is>
          <t xml:space="preserve">Сапоги резиновые повседневные</t>
        </is>
      </c>
      <c r="D238" t="inlineStr">
        <is>
          <t xml:space="preserve">1688бежевый35</t>
        </is>
      </c>
      <c r="E238" t="inlineStr">
        <is>
          <t xml:space="preserve">бежевый</t>
        </is>
      </c>
      <c r="F238" t="inlineStr">
        <is>
          <t xml:space="preserve">36</t>
        </is>
      </c>
      <c r="G238">
        <v>12</v>
      </c>
      <c r="H238" s="2">
        <v>53.0</v>
      </c>
      <c r="I238" t="inlineStr">
        <is>
          <t xml:space="preserve">100% ПВХ</t>
        </is>
      </c>
      <c r="J238" t="inlineStr">
        <is>
          <t xml:space="preserve">демисезон</t>
        </is>
      </c>
      <c r="K238" t="inlineStr">
        <is>
          <t xml:space="preserve">Китай</t>
        </is>
      </c>
      <c r="L238" t="inlineStr">
        <is>
          <t xml:space="preserve">6401929000</t>
        </is>
      </c>
      <c r="M238" t="inlineStr">
        <is>
          <t xml:space="preserve">по запросу</t>
        </is>
      </c>
      <c r="N238" t="inlineStr">
        <is>
          <t xml:space="preserve">27 × 32 × 10</t>
        </is>
      </c>
      <c r="O238" t="inlineStr">
        <is>
          <t xml:space="preserve">0,48</t>
        </is>
      </c>
      <c r="P238" t="inlineStr">
        <is>
          <t xml:space="preserve">4816148100078</t>
        </is>
      </c>
      <c r="Q238" s="3" t="str">
        <f>HYPERLINK("https://modify.by/img/227804032/1.webp","фото")</f>
        <v>фото</v>
      </c>
      <c r="R238" s="3" t="str">
        <f>HYPERLINK("https://modify.by/catalog/rezinovye-sapogi/227804032/?utm_source=price&amp;utm_medium=xlsx","открыть")</f>
        <v>открыть</v>
      </c>
    </row>
    <row r="239">
      <c r="A239" t="inlineStr">
        <is>
          <t xml:space="preserve">Женский</t>
        </is>
      </c>
      <c r="B239" t="inlineStr">
        <is>
          <t xml:space="preserve">Резиновые сапоги</t>
        </is>
      </c>
      <c r="C239" t="inlineStr">
        <is>
          <t xml:space="preserve">Сапоги резиновые повседневные</t>
        </is>
      </c>
      <c r="D239" t="inlineStr">
        <is>
          <t xml:space="preserve">1688бежевый35</t>
        </is>
      </c>
      <c r="E239" t="inlineStr">
        <is>
          <t xml:space="preserve">бежевый</t>
        </is>
      </c>
      <c r="F239" t="inlineStr">
        <is>
          <t xml:space="preserve">37</t>
        </is>
      </c>
      <c r="G239">
        <v>19</v>
      </c>
      <c r="H239" s="2">
        <v>53.0</v>
      </c>
      <c r="I239" t="inlineStr">
        <is>
          <t xml:space="preserve">100% ПВХ</t>
        </is>
      </c>
      <c r="J239" t="inlineStr">
        <is>
          <t xml:space="preserve">демисезон</t>
        </is>
      </c>
      <c r="K239" t="inlineStr">
        <is>
          <t xml:space="preserve">Китай</t>
        </is>
      </c>
      <c r="L239" t="inlineStr">
        <is>
          <t xml:space="preserve">6401929000</t>
        </is>
      </c>
      <c r="M239" t="inlineStr">
        <is>
          <t xml:space="preserve">по запросу</t>
        </is>
      </c>
      <c r="N239" t="inlineStr">
        <is>
          <t xml:space="preserve">27 × 32 × 10</t>
        </is>
      </c>
      <c r="O239" t="inlineStr">
        <is>
          <t xml:space="preserve">0,48</t>
        </is>
      </c>
      <c r="P239" t="inlineStr">
        <is>
          <t xml:space="preserve">4816148100092</t>
        </is>
      </c>
      <c r="Q239" s="3" t="str">
        <f>HYPERLINK("https://modify.by/img/227804032/1.webp","фото")</f>
        <v>фото</v>
      </c>
      <c r="R239" s="3" t="str">
        <f>HYPERLINK("https://modify.by/catalog/rezinovye-sapogi/227804032/?utm_source=price&amp;utm_medium=xlsx","открыть")</f>
        <v>открыть</v>
      </c>
    </row>
    <row r="240">
      <c r="A240" t="inlineStr">
        <is>
          <t xml:space="preserve">Женский</t>
        </is>
      </c>
      <c r="B240" t="inlineStr">
        <is>
          <t xml:space="preserve">Резиновые сапоги</t>
        </is>
      </c>
      <c r="C240" t="inlineStr">
        <is>
          <t xml:space="preserve">Стильные высокие резиновые сапоги для дачи, леса и города</t>
        </is>
      </c>
      <c r="D240" t="inlineStr">
        <is>
          <t xml:space="preserve">S480черный34</t>
        </is>
      </c>
      <c r="E240" t="inlineStr">
        <is>
          <t xml:space="preserve">черный</t>
        </is>
      </c>
      <c r="F240" t="inlineStr">
        <is>
          <t xml:space="preserve">36</t>
        </is>
      </c>
      <c r="G240">
        <v>1</v>
      </c>
      <c r="H240" s="2">
        <v>59.0</v>
      </c>
      <c r="I240" t="inlineStr">
        <is>
          <t xml:space="preserve">ПВХ 100%</t>
        </is>
      </c>
      <c r="J240" t="inlineStr">
        <is>
          <t xml:space="preserve">демисезон</t>
        </is>
      </c>
      <c r="K240" t="inlineStr">
        <is>
          <t xml:space="preserve">Китай</t>
        </is>
      </c>
      <c r="L240" t="inlineStr">
        <is>
          <t xml:space="preserve">6401929000</t>
        </is>
      </c>
      <c r="M240" t="inlineStr">
        <is>
          <t xml:space="preserve">Декларация № ЕАЭС KG417/533.Д.0004548, до 27.03.2029</t>
        </is>
      </c>
      <c r="N240" t="inlineStr">
        <is>
          <t xml:space="preserve">42 × 31 × 14</t>
        </is>
      </c>
      <c r="O240" t="inlineStr">
        <is>
          <t xml:space="preserve">1,3</t>
        </is>
      </c>
      <c r="P240" t="inlineStr">
        <is>
          <t xml:space="preserve">4816148151322</t>
        </is>
      </c>
      <c r="Q240" s="3" t="str">
        <f>HYPERLINK("https://modify.by/img/227803975/1.webp","фото")</f>
        <v>фото</v>
      </c>
      <c r="R240" s="3" t="str">
        <f>HYPERLINK("https://modify.by/catalog/rezinovye-sapogi/227803975/?utm_source=price&amp;utm_medium=xlsx","открыть")</f>
        <v>открыть</v>
      </c>
    </row>
    <row r="241">
      <c r="A241" t="inlineStr">
        <is>
          <t xml:space="preserve">Женский</t>
        </is>
      </c>
      <c r="B241" t="inlineStr">
        <is>
          <t xml:space="preserve">Резиновые сапоги</t>
        </is>
      </c>
      <c r="C241" t="inlineStr">
        <is>
          <t xml:space="preserve">Стильные резиновые высокие сапоги для леса, дачи и города</t>
        </is>
      </c>
      <c r="D241" t="inlineStr">
        <is>
          <t xml:space="preserve">S480красный</t>
        </is>
      </c>
      <c r="E241" t="inlineStr">
        <is>
          <t xml:space="preserve">красный</t>
        </is>
      </c>
      <c r="F241" t="inlineStr">
        <is>
          <t xml:space="preserve">35</t>
        </is>
      </c>
      <c r="G241">
        <v>1</v>
      </c>
      <c r="H241" s="2">
        <v>59.0</v>
      </c>
      <c r="I241" t="inlineStr">
        <is>
          <t xml:space="preserve">ПВХ 100%</t>
        </is>
      </c>
      <c r="J241" t="inlineStr">
        <is>
          <t xml:space="preserve">демисезон</t>
        </is>
      </c>
      <c r="K241" t="inlineStr">
        <is>
          <t xml:space="preserve">Китай</t>
        </is>
      </c>
      <c r="L241" t="inlineStr">
        <is>
          <t xml:space="preserve">6401929000</t>
        </is>
      </c>
      <c r="M241" t="inlineStr">
        <is>
          <t xml:space="preserve">Декларация № ЕАЭС KG417/533.Д.0004548, до 27.03.2029</t>
        </is>
      </c>
      <c r="N241" t="inlineStr">
        <is>
          <t xml:space="preserve">42 × 31 × 14</t>
        </is>
      </c>
      <c r="O241" t="inlineStr">
        <is>
          <t xml:space="preserve">1,3</t>
        </is>
      </c>
      <c r="P241" t="inlineStr">
        <is>
          <t xml:space="preserve">4816148151254</t>
        </is>
      </c>
      <c r="Q241" s="3" t="str">
        <f>HYPERLINK("https://modify.by/img/276138032/1.webp","фото")</f>
        <v>фото</v>
      </c>
      <c r="R241" s="3" t="str">
        <f>HYPERLINK("https://modify.by/catalog/rezinovye-sapogi/276138032/?utm_source=price&amp;utm_medium=xlsx","открыть")</f>
        <v>открыть</v>
      </c>
    </row>
    <row r="242">
      <c r="A242" t="inlineStr">
        <is>
          <t xml:space="preserve">Женский</t>
        </is>
      </c>
      <c r="B242" t="inlineStr">
        <is>
          <t xml:space="preserve">Резиновые сапоги</t>
        </is>
      </c>
      <c r="C242" t="inlineStr">
        <is>
          <t xml:space="preserve">Стильные резиновые высокие сапоги на платформе</t>
        </is>
      </c>
      <c r="D242" t="inlineStr">
        <is>
          <t xml:space="preserve">S480коричневый35</t>
        </is>
      </c>
      <c r="E242" t="inlineStr">
        <is>
          <t xml:space="preserve">коричневый</t>
        </is>
      </c>
      <c r="F242" t="inlineStr">
        <is>
          <t xml:space="preserve">35</t>
        </is>
      </c>
      <c r="G242">
        <v>2</v>
      </c>
      <c r="H242" s="2">
        <v>59.0</v>
      </c>
      <c r="I242" t="inlineStr">
        <is>
          <t xml:space="preserve">ПВХ 100%</t>
        </is>
      </c>
      <c r="J242" t="inlineStr">
        <is>
          <t xml:space="preserve">демисезон</t>
        </is>
      </c>
      <c r="K242" t="inlineStr">
        <is>
          <t xml:space="preserve">Китай</t>
        </is>
      </c>
      <c r="L242" t="inlineStr">
        <is>
          <t xml:space="preserve">6401929000</t>
        </is>
      </c>
      <c r="M242" t="inlineStr">
        <is>
          <t xml:space="preserve">Декларация № ЕАЭС KG417/533.Д.0004548, до 27.03.2029</t>
        </is>
      </c>
      <c r="N242" t="inlineStr">
        <is>
          <t xml:space="preserve">42 × 31 × 14</t>
        </is>
      </c>
      <c r="O242" t="inlineStr">
        <is>
          <t xml:space="preserve">1,3</t>
        </is>
      </c>
      <c r="P242" t="inlineStr">
        <is>
          <t xml:space="preserve">4816148151209</t>
        </is>
      </c>
      <c r="Q242" s="3" t="str">
        <f>HYPERLINK("https://modify.by/img/227804018/1.webp","фото")</f>
        <v>фото</v>
      </c>
      <c r="R242" s="3" t="str">
        <f>HYPERLINK("https://modify.by/catalog/rezinovye-sapogi/227804018/?utm_source=price&amp;utm_medium=xlsx","открыть")</f>
        <v>открыть</v>
      </c>
    </row>
    <row r="243">
      <c r="A243" t="inlineStr">
        <is>
          <t xml:space="preserve">Женский</t>
        </is>
      </c>
      <c r="B243" t="inlineStr">
        <is>
          <t xml:space="preserve">Резиновые сапоги</t>
        </is>
      </c>
      <c r="C243" t="inlineStr">
        <is>
          <t xml:space="preserve">Стильные резиновые высокие сапоги на платформе</t>
        </is>
      </c>
      <c r="D243" t="inlineStr">
        <is>
          <t xml:space="preserve">S480коричневый35</t>
        </is>
      </c>
      <c r="E243" t="inlineStr">
        <is>
          <t xml:space="preserve">коричневый</t>
        </is>
      </c>
      <c r="F243" t="inlineStr">
        <is>
          <t xml:space="preserve">37</t>
        </is>
      </c>
      <c r="G243">
        <v>1</v>
      </c>
      <c r="H243" s="2">
        <v>59.0</v>
      </c>
      <c r="I243" t="inlineStr">
        <is>
          <t xml:space="preserve">ПВХ 100%</t>
        </is>
      </c>
      <c r="J243" t="inlineStr">
        <is>
          <t xml:space="preserve">демисезон</t>
        </is>
      </c>
      <c r="K243" t="inlineStr">
        <is>
          <t xml:space="preserve">Китай</t>
        </is>
      </c>
      <c r="L243" t="inlineStr">
        <is>
          <t xml:space="preserve">6401929000</t>
        </is>
      </c>
      <c r="M243" t="inlineStr">
        <is>
          <t xml:space="preserve">Декларация № ЕАЭС KG417/533.Д.0004548, до 27.03.2029</t>
        </is>
      </c>
      <c r="N243" t="inlineStr">
        <is>
          <t xml:space="preserve">42 × 31 × 14</t>
        </is>
      </c>
      <c r="O243" t="inlineStr">
        <is>
          <t xml:space="preserve">1,3</t>
        </is>
      </c>
      <c r="P243" t="inlineStr">
        <is>
          <t xml:space="preserve">4816148100306</t>
        </is>
      </c>
      <c r="Q243" s="3" t="str">
        <f>HYPERLINK("https://modify.by/img/227804018/1.webp","фото")</f>
        <v>фото</v>
      </c>
      <c r="R243" s="3" t="str">
        <f>HYPERLINK("https://modify.by/catalog/rezinovye-sapogi/227804018/?utm_source=price&amp;utm_medium=xlsx","открыть")</f>
        <v>открыть</v>
      </c>
    </row>
    <row r="244">
      <c r="A244" t="inlineStr">
        <is>
          <t xml:space="preserve">Женский</t>
        </is>
      </c>
      <c r="B244" t="inlineStr">
        <is>
          <t xml:space="preserve">Свитеры</t>
        </is>
      </c>
      <c r="C244" t="inlineStr">
        <is>
          <t xml:space="preserve">Джемпер мягкий теплый ангорка</t>
        </is>
      </c>
      <c r="D244" t="inlineStr">
        <is>
          <t xml:space="preserve">SW42W05молочный</t>
        </is>
      </c>
      <c r="E244" t="inlineStr">
        <is>
          <t xml:space="preserve">молочный, слоновая кость, светло-бежевый, зернистый светло-бежевый</t>
        </is>
      </c>
      <c r="F244" t="inlineStr">
        <is>
          <t xml:space="preserve">48</t>
        </is>
      </c>
      <c r="G244">
        <v>13</v>
      </c>
      <c r="H244" s="2">
        <v>24.0</v>
      </c>
      <c r="I244" t="inlineStr">
        <is>
          <t xml:space="preserve">73% акрил 25% полиэстер 2% эластан</t>
        </is>
      </c>
      <c r="J244"/>
      <c r="K244" t="inlineStr">
        <is>
          <t xml:space="preserve">Бангладеш</t>
        </is>
      </c>
      <c r="L244" t="inlineStr">
        <is>
          <t xml:space="preserve">6110309900</t>
        </is>
      </c>
      <c r="M244" t="inlineStr">
        <is>
          <t xml:space="preserve">Декларация № ЕАЭС № BY/112 11.01. ТР017 122.01 08246, до 19.04.2028</t>
        </is>
      </c>
      <c r="N244" t="inlineStr">
        <is>
          <t xml:space="preserve">30 × 25 × 2</t>
        </is>
      </c>
      <c r="O244" t="inlineStr">
        <is>
          <t xml:space="preserve">0,37</t>
        </is>
      </c>
      <c r="P244" t="inlineStr">
        <is>
          <t xml:space="preserve">4816148149480</t>
        </is>
      </c>
      <c r="Q244" s="3" t="str">
        <f>HYPERLINK("https://modify.by/img/258246512/1.webp","фото")</f>
        <v>фото</v>
      </c>
      <c r="R244" s="3" t="str">
        <f>HYPERLINK("https://modify.by/catalog/svitery/258246512/?utm_source=price&amp;utm_medium=xlsx","открыть")</f>
        <v>открыть</v>
      </c>
    </row>
    <row r="245">
      <c r="A245" t="inlineStr">
        <is>
          <t xml:space="preserve">Женский</t>
        </is>
      </c>
      <c r="B245" t="inlineStr">
        <is>
          <t xml:space="preserve">Свитеры</t>
        </is>
      </c>
      <c r="C245" t="inlineStr">
        <is>
          <t xml:space="preserve">Джемпер с завязками укороченный</t>
        </is>
      </c>
      <c r="D245" t="inlineStr">
        <is>
          <t xml:space="preserve">SW42W03оранжевый</t>
        </is>
      </c>
      <c r="E245" t="inlineStr">
        <is>
          <t xml:space="preserve">оранжевый</t>
        </is>
      </c>
      <c r="F245" t="inlineStr">
        <is>
          <t xml:space="preserve">46</t>
        </is>
      </c>
      <c r="G245">
        <v>1</v>
      </c>
      <c r="H245" s="2">
        <v>27.0</v>
      </c>
      <c r="I245" t="inlineStr">
        <is>
          <t xml:space="preserve">акрил 80%, нейлон 20%</t>
        </is>
      </c>
      <c r="J245"/>
      <c r="K245" t="inlineStr">
        <is>
          <t xml:space="preserve">Бангладеш</t>
        </is>
      </c>
      <c r="L245" t="inlineStr">
        <is>
          <t xml:space="preserve">6110309900</t>
        </is>
      </c>
      <c r="M245" t="inlineStr">
        <is>
          <t xml:space="preserve">Декларация № ЕАЭС № BY/112 11.01. ТР017 122.01 08246, до 19.04.2028</t>
        </is>
      </c>
      <c r="N245" t="inlineStr">
        <is>
          <t xml:space="preserve">30 × 37 × 6</t>
        </is>
      </c>
      <c r="O245" t="inlineStr">
        <is>
          <t xml:space="preserve">0,42</t>
        </is>
      </c>
      <c r="P245" t="inlineStr">
        <is>
          <t xml:space="preserve">4816148109071</t>
        </is>
      </c>
      <c r="Q245" s="3" t="str">
        <f>HYPERLINK("https://modify.by/img/243752712/1.webp","фото")</f>
        <v>фото</v>
      </c>
      <c r="R245" s="3" t="str">
        <f>HYPERLINK("https://modify.by/catalog/svitery/243752712/?utm_source=price&amp;utm_medium=xlsx","открыть")</f>
        <v>открыть</v>
      </c>
    </row>
    <row r="246">
      <c r="A246" t="inlineStr">
        <is>
          <t xml:space="preserve">Женский</t>
        </is>
      </c>
      <c r="B246" t="inlineStr">
        <is>
          <t xml:space="preserve">Свитеры</t>
        </is>
      </c>
      <c r="C246" t="inlineStr">
        <is>
          <t xml:space="preserve">Джемпер с закругленным низом</t>
        </is>
      </c>
      <c r="D246" t="inlineStr">
        <is>
          <t xml:space="preserve">SW02W6Темно-зеленый</t>
        </is>
      </c>
      <c r="E246" t="inlineStr">
        <is>
          <t xml:space="preserve">темно-зеленый</t>
        </is>
      </c>
      <c r="F246" t="inlineStr">
        <is>
          <t xml:space="preserve">50</t>
        </is>
      </c>
      <c r="G246">
        <v>1</v>
      </c>
      <c r="H246" s="2">
        <v>21.0</v>
      </c>
      <c r="I246" t="inlineStr">
        <is>
          <t xml:space="preserve">полиэстер 65%, вискоза 35%</t>
        </is>
      </c>
      <c r="J246"/>
      <c r="K246" t="inlineStr">
        <is>
          <t xml:space="preserve">Бангладеш</t>
        </is>
      </c>
      <c r="L246" t="inlineStr">
        <is>
          <t xml:space="preserve">6110909000</t>
        </is>
      </c>
      <c r="M246" t="inlineStr">
        <is>
          <t xml:space="preserve">по запросу</t>
        </is>
      </c>
      <c r="N246"/>
      <c r="O246"/>
      <c r="P246" t="inlineStr">
        <is>
          <t xml:space="preserve">4816148178145</t>
        </is>
      </c>
      <c r="Q246" s="3" t="str">
        <f>HYPERLINK("https://modify.by/img/101336019/1.webp","фото")</f>
        <v>фото</v>
      </c>
      <c r="R246" s="3" t="str">
        <f>HYPERLINK("https://modify.by/catalog/svitery/101336019/?utm_source=price&amp;utm_medium=xlsx","открыть")</f>
        <v>открыть</v>
      </c>
    </row>
    <row r="247">
      <c r="A247" t="inlineStr">
        <is>
          <t xml:space="preserve">Женский</t>
        </is>
      </c>
      <c r="B247" t="inlineStr">
        <is>
          <t xml:space="preserve">Свитеры</t>
        </is>
      </c>
      <c r="C247" t="inlineStr">
        <is>
          <t xml:space="preserve">Джемпер с закругленным низом</t>
        </is>
      </c>
      <c r="D247" t="inlineStr">
        <is>
          <t xml:space="preserve">SW02W6Темно-зеленый</t>
        </is>
      </c>
      <c r="E247" t="inlineStr">
        <is>
          <t xml:space="preserve">темно-зеленый</t>
        </is>
      </c>
      <c r="F247" t="inlineStr">
        <is>
          <t xml:space="preserve">50</t>
        </is>
      </c>
      <c r="G247">
        <v>1</v>
      </c>
      <c r="H247" s="2">
        <v>21.0</v>
      </c>
      <c r="I247" t="inlineStr">
        <is>
          <t xml:space="preserve">полиэстер 65%, вискоза 35%</t>
        </is>
      </c>
      <c r="J247"/>
      <c r="K247" t="inlineStr">
        <is>
          <t xml:space="preserve">Бангладеш</t>
        </is>
      </c>
      <c r="L247" t="inlineStr">
        <is>
          <t xml:space="preserve">6110909000</t>
        </is>
      </c>
      <c r="M247" t="inlineStr">
        <is>
          <t xml:space="preserve">по запросу</t>
        </is>
      </c>
      <c r="N247"/>
      <c r="O247"/>
      <c r="P247" t="inlineStr">
        <is>
          <t xml:space="preserve">8595633678235</t>
        </is>
      </c>
      <c r="Q247" s="3" t="str">
        <f>HYPERLINK("https://modify.by/img/101336019/1.webp","фото")</f>
        <v>фото</v>
      </c>
      <c r="R247" s="3" t="str">
        <f>HYPERLINK("https://modify.by/catalog/svitery/101336019/?utm_source=price&amp;utm_medium=xlsx","открыть")</f>
        <v>открыть</v>
      </c>
    </row>
    <row r="248">
      <c r="A248" t="inlineStr">
        <is>
          <t xml:space="preserve">Женский</t>
        </is>
      </c>
      <c r="B248" t="inlineStr">
        <is>
          <t xml:space="preserve">Свитеры</t>
        </is>
      </c>
      <c r="C248" t="inlineStr">
        <is>
          <t xml:space="preserve">Джемпер теплый мягкий</t>
        </is>
      </c>
      <c r="D248" t="inlineStr">
        <is>
          <t xml:space="preserve">SW42W05серый</t>
        </is>
      </c>
      <c r="E248" t="inlineStr">
        <is>
          <t xml:space="preserve">серый</t>
        </is>
      </c>
      <c r="F248" t="inlineStr">
        <is>
          <t xml:space="preserve">48</t>
        </is>
      </c>
      <c r="G248">
        <v>21</v>
      </c>
      <c r="H248" s="2">
        <v>24.0</v>
      </c>
      <c r="I248" t="inlineStr">
        <is>
          <t xml:space="preserve">73% акрил 25% полиэстер 2% эластан</t>
        </is>
      </c>
      <c r="J248"/>
      <c r="K248" t="inlineStr">
        <is>
          <t xml:space="preserve">Бангладеш</t>
        </is>
      </c>
      <c r="L248" t="inlineStr">
        <is>
          <t xml:space="preserve">6110309900</t>
        </is>
      </c>
      <c r="M248" t="inlineStr">
        <is>
          <t xml:space="preserve">Декларация № ЕАЭС № BY/112 11.01. ТР017 122.01 08246, до 19.04.2028</t>
        </is>
      </c>
      <c r="N248" t="inlineStr">
        <is>
          <t xml:space="preserve">30 × 25 × 2</t>
        </is>
      </c>
      <c r="O248" t="inlineStr">
        <is>
          <t xml:space="preserve">0,37</t>
        </is>
      </c>
      <c r="P248" t="inlineStr">
        <is>
          <t xml:space="preserve">4816148149381</t>
        </is>
      </c>
      <c r="Q248" s="3" t="str">
        <f>HYPERLINK("https://modify.by/img/258246510/1.webp","фото")</f>
        <v>фото</v>
      </c>
      <c r="R248" s="3" t="str">
        <f>HYPERLINK("https://modify.by/catalog/svitery/258246510/?utm_source=price&amp;utm_medium=xlsx","открыть")</f>
        <v>открыть</v>
      </c>
    </row>
    <row r="249">
      <c r="A249" t="inlineStr">
        <is>
          <t xml:space="preserve">Женский</t>
        </is>
      </c>
      <c r="B249" t="inlineStr">
        <is>
          <t xml:space="preserve">Свитеры</t>
        </is>
      </c>
      <c r="C249" t="inlineStr">
        <is>
          <t xml:space="preserve">Джемпер теплый мягкий</t>
        </is>
      </c>
      <c r="D249" t="inlineStr">
        <is>
          <t xml:space="preserve">SW42W05серый</t>
        </is>
      </c>
      <c r="E249" t="inlineStr">
        <is>
          <t xml:space="preserve">серый</t>
        </is>
      </c>
      <c r="F249" t="inlineStr">
        <is>
          <t xml:space="preserve">52</t>
        </is>
      </c>
      <c r="G249">
        <v>1</v>
      </c>
      <c r="H249" s="2">
        <v>24.0</v>
      </c>
      <c r="I249" t="inlineStr">
        <is>
          <t xml:space="preserve">73% акрил 25% полиэстер 2% эластан</t>
        </is>
      </c>
      <c r="J249"/>
      <c r="K249" t="inlineStr">
        <is>
          <t xml:space="preserve">Бангладеш</t>
        </is>
      </c>
      <c r="L249" t="inlineStr">
        <is>
          <t xml:space="preserve">6110309900</t>
        </is>
      </c>
      <c r="M249" t="inlineStr">
        <is>
          <t xml:space="preserve">Декларация № ЕАЭС № BY/112 11.01. ТР017 122.01 08246, до 19.04.2028</t>
        </is>
      </c>
      <c r="N249" t="inlineStr">
        <is>
          <t xml:space="preserve">30 × 25 × 2</t>
        </is>
      </c>
      <c r="O249" t="inlineStr">
        <is>
          <t xml:space="preserve">0,37</t>
        </is>
      </c>
      <c r="P249" t="inlineStr">
        <is>
          <t xml:space="preserve">4816148149404</t>
        </is>
      </c>
      <c r="Q249" s="3" t="str">
        <f>HYPERLINK("https://modify.by/img/258246510/1.webp","фото")</f>
        <v>фото</v>
      </c>
      <c r="R249" s="3" t="str">
        <f>HYPERLINK("https://modify.by/catalog/svitery/258246510/?utm_source=price&amp;utm_medium=xlsx","открыть")</f>
        <v>открыть</v>
      </c>
    </row>
    <row r="250">
      <c r="A250" t="inlineStr">
        <is>
          <t xml:space="preserve">Женский</t>
        </is>
      </c>
      <c r="B250" t="inlineStr">
        <is>
          <t xml:space="preserve">Свитеры</t>
        </is>
      </c>
      <c r="C250" t="inlineStr">
        <is>
          <t xml:space="preserve">Джемпер теплый со шнуровкой</t>
        </is>
      </c>
      <c r="D250" t="inlineStr">
        <is>
          <t xml:space="preserve">SW42W03темно-синий</t>
        </is>
      </c>
      <c r="E250" t="inlineStr">
        <is>
          <t xml:space="preserve">темно-синий</t>
        </is>
      </c>
      <c r="F250" t="inlineStr">
        <is>
          <t xml:space="preserve">46</t>
        </is>
      </c>
      <c r="G250">
        <v>13</v>
      </c>
      <c r="H250" s="2">
        <v>27.0</v>
      </c>
      <c r="I250" t="inlineStr">
        <is>
          <t xml:space="preserve">80% акрил, 20% нейлон</t>
        </is>
      </c>
      <c r="J250"/>
      <c r="K250" t="inlineStr">
        <is>
          <t xml:space="preserve">Бангладеш</t>
        </is>
      </c>
      <c r="L250" t="inlineStr">
        <is>
          <t xml:space="preserve">6110309900</t>
        </is>
      </c>
      <c r="M250" t="inlineStr">
        <is>
          <t xml:space="preserve">Декларация № ЕАЭС № BY/112 11.01. ТР017 122.01 08246, до 19.04.2028</t>
        </is>
      </c>
      <c r="N250" t="inlineStr">
        <is>
          <t xml:space="preserve">36 × 31 × 3</t>
        </is>
      </c>
      <c r="O250" t="inlineStr">
        <is>
          <t xml:space="preserve">0,42</t>
        </is>
      </c>
      <c r="P250" t="inlineStr">
        <is>
          <t xml:space="preserve">4816148147981</t>
        </is>
      </c>
      <c r="Q250" s="3" t="str">
        <f>HYPERLINK("https://modify.by/img/258246518/1.webp","фото")</f>
        <v>фото</v>
      </c>
      <c r="R250" s="3" t="str">
        <f>HYPERLINK("https://modify.by/catalog/svitery/258246518/?utm_source=price&amp;utm_medium=xlsx","открыть")</f>
        <v>открыть</v>
      </c>
    </row>
    <row r="251">
      <c r="A251" t="inlineStr">
        <is>
          <t xml:space="preserve">Женский</t>
        </is>
      </c>
      <c r="B251" t="inlineStr">
        <is>
          <t xml:space="preserve">Свитеры</t>
        </is>
      </c>
      <c r="C251" t="inlineStr">
        <is>
          <t xml:space="preserve">Джемпер теплый со шнуровкой</t>
        </is>
      </c>
      <c r="D251" t="inlineStr">
        <is>
          <t xml:space="preserve">SW42W03темно-синий</t>
        </is>
      </c>
      <c r="E251" t="inlineStr">
        <is>
          <t xml:space="preserve">темно-синий</t>
        </is>
      </c>
      <c r="F251" t="inlineStr">
        <is>
          <t xml:space="preserve">48</t>
        </is>
      </c>
      <c r="G251">
        <v>8</v>
      </c>
      <c r="H251" s="2">
        <v>27.0</v>
      </c>
      <c r="I251" t="inlineStr">
        <is>
          <t xml:space="preserve">80% акрил, 20% нейлон</t>
        </is>
      </c>
      <c r="J251"/>
      <c r="K251" t="inlineStr">
        <is>
          <t xml:space="preserve">Бангладеш</t>
        </is>
      </c>
      <c r="L251" t="inlineStr">
        <is>
          <t xml:space="preserve">6110309900</t>
        </is>
      </c>
      <c r="M251" t="inlineStr">
        <is>
          <t xml:space="preserve">Декларация № ЕАЭС № BY/112 11.01. ТР017 122.01 08246, до 19.04.2028</t>
        </is>
      </c>
      <c r="N251" t="inlineStr">
        <is>
          <t xml:space="preserve">36 × 31 × 3</t>
        </is>
      </c>
      <c r="O251" t="inlineStr">
        <is>
          <t xml:space="preserve">0,42</t>
        </is>
      </c>
      <c r="P251" t="inlineStr">
        <is>
          <t xml:space="preserve">4816148147998</t>
        </is>
      </c>
      <c r="Q251" s="3" t="str">
        <f>HYPERLINK("https://modify.by/img/258246518/1.webp","фото")</f>
        <v>фото</v>
      </c>
      <c r="R251" s="3" t="str">
        <f>HYPERLINK("https://modify.by/catalog/svitery/258246518/?utm_source=price&amp;utm_medium=xlsx","открыть")</f>
        <v>открыть</v>
      </c>
    </row>
    <row r="252">
      <c r="A252" t="inlineStr">
        <is>
          <t xml:space="preserve">Женский</t>
        </is>
      </c>
      <c r="B252" t="inlineStr">
        <is>
          <t xml:space="preserve">Свитеры</t>
        </is>
      </c>
      <c r="C252" t="inlineStr">
        <is>
          <t xml:space="preserve">Джемпер тонкой вязки теплый</t>
        </is>
      </c>
      <c r="D252" t="inlineStr">
        <is>
          <t xml:space="preserve">SW42W05розовый</t>
        </is>
      </c>
      <c r="E252" t="inlineStr">
        <is>
          <t xml:space="preserve">розовый</t>
        </is>
      </c>
      <c r="F252" t="inlineStr">
        <is>
          <t xml:space="preserve">48</t>
        </is>
      </c>
      <c r="G252">
        <v>1</v>
      </c>
      <c r="H252" s="2">
        <v>24.0</v>
      </c>
      <c r="I252" t="inlineStr">
        <is>
          <t xml:space="preserve">73% акрил 25% полиэстер 2% эластан</t>
        </is>
      </c>
      <c r="J252"/>
      <c r="K252" t="inlineStr">
        <is>
          <t xml:space="preserve">Бангладеш</t>
        </is>
      </c>
      <c r="L252" t="inlineStr">
        <is>
          <t xml:space="preserve">6110309900</t>
        </is>
      </c>
      <c r="M252" t="inlineStr">
        <is>
          <t xml:space="preserve">Декларация № ЕАЭС № BY/112 11.01. ТР017 122.01 08246, до 19.04.2028</t>
        </is>
      </c>
      <c r="N252" t="inlineStr">
        <is>
          <t xml:space="preserve">30 × 25 × 2</t>
        </is>
      </c>
      <c r="O252" t="inlineStr">
        <is>
          <t xml:space="preserve">0,37</t>
        </is>
      </c>
      <c r="P252" t="inlineStr">
        <is>
          <t xml:space="preserve">4816148149534</t>
        </is>
      </c>
      <c r="Q252" s="3" t="str">
        <f>HYPERLINK("https://modify.by/img/258246513/1.webp","фото")</f>
        <v>фото</v>
      </c>
      <c r="R252" s="3" t="str">
        <f>HYPERLINK("https://modify.by/catalog/svitery/258246513/?utm_source=price&amp;utm_medium=xlsx","открыть")</f>
        <v>открыть</v>
      </c>
    </row>
    <row r="253">
      <c r="A253" t="inlineStr">
        <is>
          <t xml:space="preserve">Женский</t>
        </is>
      </c>
      <c r="B253" t="inlineStr">
        <is>
          <t xml:space="preserve">Свитеры</t>
        </is>
      </c>
      <c r="C253" t="inlineStr">
        <is>
          <t xml:space="preserve">Свитер вискоза с в образным вырезом</t>
        </is>
      </c>
      <c r="D253" t="inlineStr">
        <is>
          <t xml:space="preserve">SW12W24*Черный</t>
        </is>
      </c>
      <c r="E253" t="inlineStr">
        <is>
          <t xml:space="preserve">черный</t>
        </is>
      </c>
      <c r="F253" t="inlineStr">
        <is>
          <t xml:space="preserve">50</t>
        </is>
      </c>
      <c r="G253">
        <v>1</v>
      </c>
      <c r="H253" s="2">
        <v>21.0</v>
      </c>
      <c r="I253" t="inlineStr">
        <is>
          <t xml:space="preserve">полиамид 29%, вискоза 71%</t>
        </is>
      </c>
      <c r="J253"/>
      <c r="K253" t="inlineStr">
        <is>
          <t xml:space="preserve">Бангладеш</t>
        </is>
      </c>
      <c r="L253" t="inlineStr">
        <is>
          <t xml:space="preserve">6110209900</t>
        </is>
      </c>
      <c r="M253" t="inlineStr">
        <is>
          <t xml:space="preserve">Декларация № ЕАЭС № BY/112 11.01. ТР017 122.01 08246, до 19.04.2028</t>
        </is>
      </c>
      <c r="N253" t="inlineStr">
        <is>
          <t xml:space="preserve">1 × 30 × 35</t>
        </is>
      </c>
      <c r="O253" t="inlineStr">
        <is>
          <t xml:space="preserve">0,3</t>
        </is>
      </c>
      <c r="P253" t="inlineStr">
        <is>
          <t xml:space="preserve">4816148178589</t>
        </is>
      </c>
      <c r="Q253" s="3" t="str">
        <f>HYPERLINK("https://modify.by/img/58457157/1.webp","фото")</f>
        <v>фото</v>
      </c>
      <c r="R253" s="3" t="str">
        <f>HYPERLINK("https://modify.by/catalog/svitery/58457157/?utm_source=price&amp;utm_medium=xlsx","открыть")</f>
        <v>открыть</v>
      </c>
    </row>
    <row r="254">
      <c r="A254" t="inlineStr">
        <is>
          <t xml:space="preserve">Женский</t>
        </is>
      </c>
      <c r="B254" t="inlineStr">
        <is>
          <t xml:space="preserve">Свитеры</t>
        </is>
      </c>
      <c r="C254" t="inlineStr">
        <is>
          <t xml:space="preserve">Свитер водолазка, бежевый лайт</t>
        </is>
      </c>
      <c r="D254" t="inlineStr">
        <is>
          <t xml:space="preserve">SW62W01телесный</t>
        </is>
      </c>
      <c r="E254" t="inlineStr">
        <is>
          <t xml:space="preserve">бежевый лайт</t>
        </is>
      </c>
      <c r="F254" t="inlineStr">
        <is>
          <t xml:space="preserve">50</t>
        </is>
      </c>
      <c r="G254">
        <v>1</v>
      </c>
      <c r="H254" s="2">
        <v>25.0</v>
      </c>
      <c r="I254" t="inlineStr">
        <is>
          <t xml:space="preserve">50% вискоза,30% п/э,20% нейлон</t>
        </is>
      </c>
      <c r="J254"/>
      <c r="K254" t="inlineStr">
        <is>
          <t xml:space="preserve">Бангладеш</t>
        </is>
      </c>
      <c r="L254" t="inlineStr">
        <is>
          <t xml:space="preserve">6110309900</t>
        </is>
      </c>
      <c r="M254" t="inlineStr">
        <is>
          <t xml:space="preserve">Декларация № ЕАЭС № BY/112 11.01. ТР017 122.01 08246, до 19.04.2028</t>
        </is>
      </c>
      <c r="N254" t="inlineStr">
        <is>
          <t xml:space="preserve">36 × 28 × 2</t>
        </is>
      </c>
      <c r="O254" t="inlineStr">
        <is>
          <t xml:space="preserve">0,28</t>
        </is>
      </c>
      <c r="P254" t="inlineStr">
        <is>
          <t xml:space="preserve">4816148172396</t>
        </is>
      </c>
      <c r="Q254" s="3" t="str">
        <f>HYPERLINK("https://modify.by/img/668159377/1.webp","фото")</f>
        <v>фото</v>
      </c>
      <c r="R254" s="3" t="str">
        <f>HYPERLINK("https://modify.by/catalog/svitery/668159377/?utm_source=price&amp;utm_medium=xlsx","открыть")</f>
        <v>открыть</v>
      </c>
    </row>
    <row r="255">
      <c r="A255" t="inlineStr">
        <is>
          <t xml:space="preserve">Женский</t>
        </is>
      </c>
      <c r="B255" t="inlineStr">
        <is>
          <t xml:space="preserve">Свитеры</t>
        </is>
      </c>
      <c r="C255" t="inlineStr">
        <is>
          <t xml:space="preserve">Свитер водолазка, белый</t>
        </is>
      </c>
      <c r="D255" t="inlineStr">
        <is>
          <t xml:space="preserve">SW62W01черный,белый</t>
        </is>
      </c>
      <c r="E255" t="inlineStr">
        <is>
          <t xml:space="preserve">черный, белый</t>
        </is>
      </c>
      <c r="F255" t="inlineStr">
        <is>
          <t xml:space="preserve">44</t>
        </is>
      </c>
      <c r="G255">
        <v>1</v>
      </c>
      <c r="H255" s="2">
        <v>25.0</v>
      </c>
      <c r="I255" t="inlineStr">
        <is>
          <t xml:space="preserve">50% вискоза,30% п/э,20% нейлон</t>
        </is>
      </c>
      <c r="J255"/>
      <c r="K255" t="inlineStr">
        <is>
          <t xml:space="preserve">Бангладеш</t>
        </is>
      </c>
      <c r="L255" t="inlineStr">
        <is>
          <t xml:space="preserve">6110309900</t>
        </is>
      </c>
      <c r="M255" t="inlineStr">
        <is>
          <t xml:space="preserve">Декларация № ЕАЭС № BY/112 11.01. ТР017 122.01 08246, до 19.04.2028</t>
        </is>
      </c>
      <c r="N255" t="inlineStr">
        <is>
          <t xml:space="preserve">36 × 28 × 2</t>
        </is>
      </c>
      <c r="O255" t="inlineStr">
        <is>
          <t xml:space="preserve">0,28</t>
        </is>
      </c>
      <c r="P255" t="inlineStr">
        <is>
          <t xml:space="preserve">4816148172273</t>
        </is>
      </c>
      <c r="Q255" s="3" t="str">
        <f>HYPERLINK("https://modify.by/img/668159375/1.webp","фото")</f>
        <v>фото</v>
      </c>
      <c r="R255" s="3" t="str">
        <f>HYPERLINK("https://modify.by/catalog/svitery/668159375/?utm_source=price&amp;utm_medium=xlsx","открыть")</f>
        <v>открыть</v>
      </c>
    </row>
    <row r="256">
      <c r="A256" t="inlineStr">
        <is>
          <t xml:space="preserve">Женский</t>
        </is>
      </c>
      <c r="B256" t="inlineStr">
        <is>
          <t xml:space="preserve">Свитеры</t>
        </is>
      </c>
      <c r="C256" t="inlineStr">
        <is>
          <t xml:space="preserve">Свитер водолазка, белый</t>
        </is>
      </c>
      <c r="D256" t="inlineStr">
        <is>
          <t xml:space="preserve">SW62W01черный,белый</t>
        </is>
      </c>
      <c r="E256" t="inlineStr">
        <is>
          <t xml:space="preserve">черный, белый</t>
        </is>
      </c>
      <c r="F256" t="inlineStr">
        <is>
          <t xml:space="preserve">50</t>
        </is>
      </c>
      <c r="G256">
        <v>1</v>
      </c>
      <c r="H256" s="2">
        <v>25.0</v>
      </c>
      <c r="I256" t="inlineStr">
        <is>
          <t xml:space="preserve">50% вискоза,30% п/э,20% нейлон</t>
        </is>
      </c>
      <c r="J256"/>
      <c r="K256" t="inlineStr">
        <is>
          <t xml:space="preserve">Бангладеш</t>
        </is>
      </c>
      <c r="L256" t="inlineStr">
        <is>
          <t xml:space="preserve">6110309900</t>
        </is>
      </c>
      <c r="M256" t="inlineStr">
        <is>
          <t xml:space="preserve">Декларация № ЕАЭС № BY/112 11.01. ТР017 122.01 08246, до 19.04.2028</t>
        </is>
      </c>
      <c r="N256" t="inlineStr">
        <is>
          <t xml:space="preserve">36 × 28 × 2</t>
        </is>
      </c>
      <c r="O256" t="inlineStr">
        <is>
          <t xml:space="preserve">0,28</t>
        </is>
      </c>
      <c r="P256" t="inlineStr">
        <is>
          <t xml:space="preserve">4816148172297</t>
        </is>
      </c>
      <c r="Q256" s="3" t="str">
        <f>HYPERLINK("https://modify.by/img/668159375/1.webp","фото")</f>
        <v>фото</v>
      </c>
      <c r="R256" s="3" t="str">
        <f>HYPERLINK("https://modify.by/catalog/svitery/668159375/?utm_source=price&amp;utm_medium=xlsx","открыть")</f>
        <v>открыть</v>
      </c>
    </row>
    <row r="257">
      <c r="A257" t="inlineStr">
        <is>
          <t xml:space="preserve">Женский</t>
        </is>
      </c>
      <c r="B257" t="inlineStr">
        <is>
          <t xml:space="preserve">Свитеры</t>
        </is>
      </c>
      <c r="C257" t="inlineStr">
        <is>
          <t xml:space="preserve">Свитер водолазка, пастельно-песочный</t>
        </is>
      </c>
      <c r="D257" t="inlineStr">
        <is>
          <t xml:space="preserve">SW62W01пастельно-песочный</t>
        </is>
      </c>
      <c r="E257" t="inlineStr">
        <is>
          <t xml:space="preserve">пастельно-песочный</t>
        </is>
      </c>
      <c r="F257" t="inlineStr">
        <is>
          <t xml:space="preserve">46</t>
        </is>
      </c>
      <c r="G257">
        <v>1</v>
      </c>
      <c r="H257" s="2">
        <v>25.0</v>
      </c>
      <c r="I257" t="inlineStr">
        <is>
          <t xml:space="preserve">50% вискоза,30% п/э,20% нейлон</t>
        </is>
      </c>
      <c r="J257"/>
      <c r="K257" t="inlineStr">
        <is>
          <t xml:space="preserve">Бангладеш</t>
        </is>
      </c>
      <c r="L257" t="inlineStr">
        <is>
          <t xml:space="preserve">6110309900</t>
        </is>
      </c>
      <c r="M257" t="inlineStr">
        <is>
          <t xml:space="preserve">Декларация № ЕАЭС № BY/112 11.01. ТР017 122.01 08246, до 19.04.2028</t>
        </is>
      </c>
      <c r="N257" t="inlineStr">
        <is>
          <t xml:space="preserve">36 × 28 × 2</t>
        </is>
      </c>
      <c r="O257" t="inlineStr">
        <is>
          <t xml:space="preserve">0,28</t>
        </is>
      </c>
      <c r="P257" t="inlineStr">
        <is>
          <t xml:space="preserve">4816148172464</t>
        </is>
      </c>
      <c r="Q257" s="3" t="str">
        <f>HYPERLINK("https://modify.by/img/668159363/1.webp","фото")</f>
        <v>фото</v>
      </c>
      <c r="R257" s="3" t="str">
        <f>HYPERLINK("https://modify.by/catalog/svitery/668159363/?utm_source=price&amp;utm_medium=xlsx","открыть")</f>
        <v>открыть</v>
      </c>
    </row>
    <row r="258">
      <c r="A258" t="inlineStr">
        <is>
          <t xml:space="preserve">Женский</t>
        </is>
      </c>
      <c r="B258" t="inlineStr">
        <is>
          <t xml:space="preserve">Свитеры</t>
        </is>
      </c>
      <c r="C258" t="inlineStr">
        <is>
          <t xml:space="preserve">Свитер водолазка, пастельно-песочный</t>
        </is>
      </c>
      <c r="D258" t="inlineStr">
        <is>
          <t xml:space="preserve">SW62W01пастельно-песочный</t>
        </is>
      </c>
      <c r="E258" t="inlineStr">
        <is>
          <t xml:space="preserve">пастельно-песочный</t>
        </is>
      </c>
      <c r="F258" t="inlineStr">
        <is>
          <t xml:space="preserve">48</t>
        </is>
      </c>
      <c r="G258">
        <v>4</v>
      </c>
      <c r="H258" s="2">
        <v>25.0</v>
      </c>
      <c r="I258" t="inlineStr">
        <is>
          <t xml:space="preserve">50% вискоза,30% п/э,20% нейлон</t>
        </is>
      </c>
      <c r="J258"/>
      <c r="K258" t="inlineStr">
        <is>
          <t xml:space="preserve">Бангладеш</t>
        </is>
      </c>
      <c r="L258" t="inlineStr">
        <is>
          <t xml:space="preserve">6110309900</t>
        </is>
      </c>
      <c r="M258" t="inlineStr">
        <is>
          <t xml:space="preserve">Декларация № ЕАЭС № BY/112 11.01. ТР017 122.01 08246, до 19.04.2028</t>
        </is>
      </c>
      <c r="N258" t="inlineStr">
        <is>
          <t xml:space="preserve">36 × 28 × 2</t>
        </is>
      </c>
      <c r="O258" t="inlineStr">
        <is>
          <t xml:space="preserve">0,28</t>
        </is>
      </c>
      <c r="P258" t="inlineStr">
        <is>
          <t xml:space="preserve">4816148172471</t>
        </is>
      </c>
      <c r="Q258" s="3" t="str">
        <f>HYPERLINK("https://modify.by/img/668159363/1.webp","фото")</f>
        <v>фото</v>
      </c>
      <c r="R258" s="3" t="str">
        <f>HYPERLINK("https://modify.by/catalog/svitery/668159363/?utm_source=price&amp;utm_medium=xlsx","открыть")</f>
        <v>открыть</v>
      </c>
    </row>
    <row r="259">
      <c r="A259" t="inlineStr">
        <is>
          <t xml:space="preserve">Женский</t>
        </is>
      </c>
      <c r="B259" t="inlineStr">
        <is>
          <t xml:space="preserve">Свитеры</t>
        </is>
      </c>
      <c r="C259" t="inlineStr">
        <is>
          <t xml:space="preserve">Свитер водолазка, пастельно-песочный</t>
        </is>
      </c>
      <c r="D259" t="inlineStr">
        <is>
          <t xml:space="preserve">SW62W01пастельно-песочный</t>
        </is>
      </c>
      <c r="E259" t="inlineStr">
        <is>
          <t xml:space="preserve">пастельно-песочный</t>
        </is>
      </c>
      <c r="F259" t="inlineStr">
        <is>
          <t xml:space="preserve">50</t>
        </is>
      </c>
      <c r="G259">
        <v>2</v>
      </c>
      <c r="H259" s="2">
        <v>25.0</v>
      </c>
      <c r="I259" t="inlineStr">
        <is>
          <t xml:space="preserve">50% вискоза,30% п/э,20% нейлон</t>
        </is>
      </c>
      <c r="J259"/>
      <c r="K259" t="inlineStr">
        <is>
          <t xml:space="preserve">Бангладеш</t>
        </is>
      </c>
      <c r="L259" t="inlineStr">
        <is>
          <t xml:space="preserve">6110309900</t>
        </is>
      </c>
      <c r="M259" t="inlineStr">
        <is>
          <t xml:space="preserve">Декларация № ЕАЭС № BY/112 11.01. ТР017 122.01 08246, до 19.04.2028</t>
        </is>
      </c>
      <c r="N259" t="inlineStr">
        <is>
          <t xml:space="preserve">36 × 28 × 2</t>
        </is>
      </c>
      <c r="O259" t="inlineStr">
        <is>
          <t xml:space="preserve">0,28</t>
        </is>
      </c>
      <c r="P259" t="inlineStr">
        <is>
          <t xml:space="preserve">4816148172488</t>
        </is>
      </c>
      <c r="Q259" s="3" t="str">
        <f>HYPERLINK("https://modify.by/img/668159363/1.webp","фото")</f>
        <v>фото</v>
      </c>
      <c r="R259" s="3" t="str">
        <f>HYPERLINK("https://modify.by/catalog/svitery/668159363/?utm_source=price&amp;utm_medium=xlsx","открыть")</f>
        <v>открыть</v>
      </c>
    </row>
    <row r="260">
      <c r="A260" t="inlineStr">
        <is>
          <t xml:space="preserve">Женский</t>
        </is>
      </c>
      <c r="B260" t="inlineStr">
        <is>
          <t xml:space="preserve">Свитеры</t>
        </is>
      </c>
      <c r="C260" t="inlineStr">
        <is>
          <t xml:space="preserve">Свитер водолазка, песочно-желтый</t>
        </is>
      </c>
      <c r="D260" t="inlineStr">
        <is>
          <t xml:space="preserve">SW62W01песочно-желтый</t>
        </is>
      </c>
      <c r="E260" t="inlineStr">
        <is>
          <t xml:space="preserve">песочно-желтый</t>
        </is>
      </c>
      <c r="F260" t="inlineStr">
        <is>
          <t xml:space="preserve">50</t>
        </is>
      </c>
      <c r="G260">
        <v>1</v>
      </c>
      <c r="H260" s="2">
        <v>25.0</v>
      </c>
      <c r="I260" t="inlineStr">
        <is>
          <t xml:space="preserve">50% вискоза,30% п/э,20% нейлон</t>
        </is>
      </c>
      <c r="J260"/>
      <c r="K260" t="inlineStr">
        <is>
          <t xml:space="preserve">Бангладеш</t>
        </is>
      </c>
      <c r="L260" t="inlineStr">
        <is>
          <t xml:space="preserve">6110309900</t>
        </is>
      </c>
      <c r="M260" t="inlineStr">
        <is>
          <t xml:space="preserve">Декларация № ЕАЭС № BY/112 11.01. ТР017 122.01 08246, до 19.04.2028</t>
        </is>
      </c>
      <c r="N260" t="inlineStr">
        <is>
          <t xml:space="preserve">36 × 28 × 2</t>
        </is>
      </c>
      <c r="O260" t="inlineStr">
        <is>
          <t xml:space="preserve">0,28</t>
        </is>
      </c>
      <c r="P260" t="inlineStr">
        <is>
          <t xml:space="preserve">4816148172525</t>
        </is>
      </c>
      <c r="Q260" s="3" t="str">
        <f>HYPERLINK("https://modify.by/img/668159378/1.webp","фото")</f>
        <v>фото</v>
      </c>
      <c r="R260" s="3" t="str">
        <f>HYPERLINK("https://modify.by/catalog/svitery/668159378/?utm_source=price&amp;utm_medium=xlsx","открыть")</f>
        <v>открыть</v>
      </c>
    </row>
    <row r="261">
      <c r="A261" t="inlineStr">
        <is>
          <t xml:space="preserve">Женский</t>
        </is>
      </c>
      <c r="B261" t="inlineStr">
        <is>
          <t xml:space="preserve">Свитеры</t>
        </is>
      </c>
      <c r="C261" t="inlineStr">
        <is>
          <t xml:space="preserve">Свитер водолазка, светло-песочный</t>
        </is>
      </c>
      <c r="D261" t="inlineStr">
        <is>
          <t xml:space="preserve">SW62W01светло-песочный</t>
        </is>
      </c>
      <c r="E261" t="inlineStr">
        <is>
          <t xml:space="preserve">светло-песочный</t>
        </is>
      </c>
      <c r="F261" t="inlineStr">
        <is>
          <t xml:space="preserve">48</t>
        </is>
      </c>
      <c r="G261">
        <v>1</v>
      </c>
      <c r="H261" s="2">
        <v>25.0</v>
      </c>
      <c r="I261" t="inlineStr">
        <is>
          <t xml:space="preserve">50% вискоза,30% п/э,20% нейлон</t>
        </is>
      </c>
      <c r="J261"/>
      <c r="K261" t="inlineStr">
        <is>
          <t xml:space="preserve">Бангладеш</t>
        </is>
      </c>
      <c r="L261" t="inlineStr">
        <is>
          <t xml:space="preserve">6110309900</t>
        </is>
      </c>
      <c r="M261" t="inlineStr">
        <is>
          <t xml:space="preserve">Декларация № ЕАЭС № BY/112 11.01. ТР017 122.01 08246, до 19.04.2028</t>
        </is>
      </c>
      <c r="N261" t="inlineStr">
        <is>
          <t xml:space="preserve">36 × 28 × 2</t>
        </is>
      </c>
      <c r="O261" t="inlineStr">
        <is>
          <t xml:space="preserve">0,28</t>
        </is>
      </c>
      <c r="P261" t="inlineStr">
        <is>
          <t xml:space="preserve">4816148172990</t>
        </is>
      </c>
      <c r="Q261" s="3" t="str">
        <f>HYPERLINK("https://modify.by/img/668159366/1.webp","фото")</f>
        <v>фото</v>
      </c>
      <c r="R261" s="3" t="str">
        <f>HYPERLINK("https://modify.by/catalog/svitery/668159366/?utm_source=price&amp;utm_medium=xlsx","открыть")</f>
        <v>открыть</v>
      </c>
    </row>
    <row r="262">
      <c r="A262" t="inlineStr">
        <is>
          <t xml:space="preserve">Женский</t>
        </is>
      </c>
      <c r="B262" t="inlineStr">
        <is>
          <t xml:space="preserve">Свитеры</t>
        </is>
      </c>
      <c r="C262" t="inlineStr">
        <is>
          <t xml:space="preserve">Свитер водолазка, светло-песочный</t>
        </is>
      </c>
      <c r="D262" t="inlineStr">
        <is>
          <t xml:space="preserve">SW62W01светло-песочный</t>
        </is>
      </c>
      <c r="E262" t="inlineStr">
        <is>
          <t xml:space="preserve">светло-песочный</t>
        </is>
      </c>
      <c r="F262" t="inlineStr">
        <is>
          <t xml:space="preserve">50</t>
        </is>
      </c>
      <c r="G262">
        <v>3</v>
      </c>
      <c r="H262" s="2">
        <v>25.0</v>
      </c>
      <c r="I262" t="inlineStr">
        <is>
          <t xml:space="preserve">50% вискоза,30% п/э,20% нейлон</t>
        </is>
      </c>
      <c r="J262"/>
      <c r="K262" t="inlineStr">
        <is>
          <t xml:space="preserve">Бангладеш</t>
        </is>
      </c>
      <c r="L262" t="inlineStr">
        <is>
          <t xml:space="preserve">6110309900</t>
        </is>
      </c>
      <c r="M262" t="inlineStr">
        <is>
          <t xml:space="preserve">Декларация № ЕАЭС № BY/112 11.01. ТР017 122.01 08246, до 19.04.2028</t>
        </is>
      </c>
      <c r="N262" t="inlineStr">
        <is>
          <t xml:space="preserve">36 × 28 × 2</t>
        </is>
      </c>
      <c r="O262" t="inlineStr">
        <is>
          <t xml:space="preserve">0,28</t>
        </is>
      </c>
      <c r="P262" t="inlineStr">
        <is>
          <t xml:space="preserve">4816148173003</t>
        </is>
      </c>
      <c r="Q262" s="3" t="str">
        <f>HYPERLINK("https://modify.by/img/668159366/1.webp","фото")</f>
        <v>фото</v>
      </c>
      <c r="R262" s="3" t="str">
        <f>HYPERLINK("https://modify.by/catalog/svitery/668159366/?utm_source=price&amp;utm_medium=xlsx","открыть")</f>
        <v>открыть</v>
      </c>
    </row>
    <row r="263">
      <c r="A263" t="inlineStr">
        <is>
          <t xml:space="preserve">Женский</t>
        </is>
      </c>
      <c r="B263" t="inlineStr">
        <is>
          <t xml:space="preserve">Свитеры</t>
        </is>
      </c>
      <c r="C263" t="inlineStr">
        <is>
          <t xml:space="preserve">Свитер водолазка, серо-синий</t>
        </is>
      </c>
      <c r="D263" t="inlineStr">
        <is>
          <t xml:space="preserve">SW62W01серо-синий</t>
        </is>
      </c>
      <c r="E263" t="inlineStr">
        <is>
          <t xml:space="preserve">серо-синий</t>
        </is>
      </c>
      <c r="F263" t="inlineStr">
        <is>
          <t xml:space="preserve">46</t>
        </is>
      </c>
      <c r="G263">
        <v>1</v>
      </c>
      <c r="H263" s="2">
        <v>25.0</v>
      </c>
      <c r="I263" t="inlineStr">
        <is>
          <t xml:space="preserve">50% вискоза,30% п/э,20% нейлон</t>
        </is>
      </c>
      <c r="J263"/>
      <c r="K263" t="inlineStr">
        <is>
          <t xml:space="preserve">Бангладеш</t>
        </is>
      </c>
      <c r="L263" t="inlineStr">
        <is>
          <t xml:space="preserve">6110309900</t>
        </is>
      </c>
      <c r="M263" t="inlineStr">
        <is>
          <t xml:space="preserve">Декларация № ЕАЭС № BY/112 11.01. ТР017 122.01 08246, до 19.04.2028</t>
        </is>
      </c>
      <c r="N263" t="inlineStr">
        <is>
          <t xml:space="preserve">36 × 28 × 2</t>
        </is>
      </c>
      <c r="O263" t="inlineStr">
        <is>
          <t xml:space="preserve">0,28</t>
        </is>
      </c>
      <c r="P263" t="inlineStr">
        <is>
          <t xml:space="preserve">4816148173096</t>
        </is>
      </c>
      <c r="Q263" s="3" t="str">
        <f>HYPERLINK("https://modify.by/img/670163876/1.webp","фото")</f>
        <v>фото</v>
      </c>
      <c r="R263" s="3" t="str">
        <f>HYPERLINK("https://modify.by/catalog/svitery/670163876/?utm_source=price&amp;utm_medium=xlsx","открыть")</f>
        <v>открыть</v>
      </c>
    </row>
    <row r="264">
      <c r="A264" t="inlineStr">
        <is>
          <t xml:space="preserve">Женский</t>
        </is>
      </c>
      <c r="B264" t="inlineStr">
        <is>
          <t xml:space="preserve">Свитеры</t>
        </is>
      </c>
      <c r="C264" t="inlineStr">
        <is>
          <t xml:space="preserve">Свитер водолазка, серо-синий</t>
        </is>
      </c>
      <c r="D264" t="inlineStr">
        <is>
          <t xml:space="preserve">SW62W01серо-синий</t>
        </is>
      </c>
      <c r="E264" t="inlineStr">
        <is>
          <t xml:space="preserve">серо-синий</t>
        </is>
      </c>
      <c r="F264" t="inlineStr">
        <is>
          <t xml:space="preserve">48</t>
        </is>
      </c>
      <c r="G264">
        <v>3</v>
      </c>
      <c r="H264" s="2">
        <v>25.0</v>
      </c>
      <c r="I264" t="inlineStr">
        <is>
          <t xml:space="preserve">50% вискоза,30% п/э,20% нейлон</t>
        </is>
      </c>
      <c r="J264"/>
      <c r="K264" t="inlineStr">
        <is>
          <t xml:space="preserve">Бангладеш</t>
        </is>
      </c>
      <c r="L264" t="inlineStr">
        <is>
          <t xml:space="preserve">6110309900</t>
        </is>
      </c>
      <c r="M264" t="inlineStr">
        <is>
          <t xml:space="preserve">Декларация № ЕАЭС № BY/112 11.01. ТР017 122.01 08246, до 19.04.2028</t>
        </is>
      </c>
      <c r="N264" t="inlineStr">
        <is>
          <t xml:space="preserve">36 × 28 × 2</t>
        </is>
      </c>
      <c r="O264" t="inlineStr">
        <is>
          <t xml:space="preserve">0,28</t>
        </is>
      </c>
      <c r="P264" t="inlineStr">
        <is>
          <t xml:space="preserve">4816148173102</t>
        </is>
      </c>
      <c r="Q264" s="3" t="str">
        <f>HYPERLINK("https://modify.by/img/670163876/1.webp","фото")</f>
        <v>фото</v>
      </c>
      <c r="R264" s="3" t="str">
        <f>HYPERLINK("https://modify.by/catalog/svitery/670163876/?utm_source=price&amp;utm_medium=xlsx","открыть")</f>
        <v>открыть</v>
      </c>
    </row>
    <row r="265">
      <c r="A265" t="inlineStr">
        <is>
          <t xml:space="preserve">Женский</t>
        </is>
      </c>
      <c r="B265" t="inlineStr">
        <is>
          <t xml:space="preserve">Свитеры</t>
        </is>
      </c>
      <c r="C265" t="inlineStr">
        <is>
          <t xml:space="preserve">Свитер водолазка, серо-синий</t>
        </is>
      </c>
      <c r="D265" t="inlineStr">
        <is>
          <t xml:space="preserve">SW62W01серо-синий</t>
        </is>
      </c>
      <c r="E265" t="inlineStr">
        <is>
          <t xml:space="preserve">серо-синий</t>
        </is>
      </c>
      <c r="F265" t="inlineStr">
        <is>
          <t xml:space="preserve">50</t>
        </is>
      </c>
      <c r="G265">
        <v>6</v>
      </c>
      <c r="H265" s="2">
        <v>25.0</v>
      </c>
      <c r="I265" t="inlineStr">
        <is>
          <t xml:space="preserve">50% вискоза,30% п/э,20% нейлон</t>
        </is>
      </c>
      <c r="J265"/>
      <c r="K265" t="inlineStr">
        <is>
          <t xml:space="preserve">Бангладеш</t>
        </is>
      </c>
      <c r="L265" t="inlineStr">
        <is>
          <t xml:space="preserve">6110309900</t>
        </is>
      </c>
      <c r="M265" t="inlineStr">
        <is>
          <t xml:space="preserve">Декларация № ЕАЭС № BY/112 11.01. ТР017 122.01 08246, до 19.04.2028</t>
        </is>
      </c>
      <c r="N265" t="inlineStr">
        <is>
          <t xml:space="preserve">36 × 28 × 2</t>
        </is>
      </c>
      <c r="O265" t="inlineStr">
        <is>
          <t xml:space="preserve">0,28</t>
        </is>
      </c>
      <c r="P265" t="inlineStr">
        <is>
          <t xml:space="preserve">4816148173119</t>
        </is>
      </c>
      <c r="Q265" s="3" t="str">
        <f>HYPERLINK("https://modify.by/img/670163876/1.webp","фото")</f>
        <v>фото</v>
      </c>
      <c r="R265" s="3" t="str">
        <f>HYPERLINK("https://modify.by/catalog/svitery/670163876/?utm_source=price&amp;utm_medium=xlsx","открыть")</f>
        <v>открыть</v>
      </c>
    </row>
    <row r="266">
      <c r="A266" t="inlineStr">
        <is>
          <t xml:space="preserve">Женский</t>
        </is>
      </c>
      <c r="B266" t="inlineStr">
        <is>
          <t xml:space="preserve">Свитеры</t>
        </is>
      </c>
      <c r="C266" t="inlineStr">
        <is>
          <t xml:space="preserve">Свитер водолазка, черный</t>
        </is>
      </c>
      <c r="D266" t="inlineStr">
        <is>
          <t xml:space="preserve">SW62W01черный</t>
        </is>
      </c>
      <c r="E266" t="inlineStr">
        <is>
          <t xml:space="preserve">черный</t>
        </is>
      </c>
      <c r="F266" t="inlineStr">
        <is>
          <t xml:space="preserve">46</t>
        </is>
      </c>
      <c r="G266">
        <v>7</v>
      </c>
      <c r="H266" s="2">
        <v>25.0</v>
      </c>
      <c r="I266" t="inlineStr">
        <is>
          <t xml:space="preserve">50% вискоза,30% п/э,20% нейлон</t>
        </is>
      </c>
      <c r="J266"/>
      <c r="K266" t="inlineStr">
        <is>
          <t xml:space="preserve">Бангладеш</t>
        </is>
      </c>
      <c r="L266" t="inlineStr">
        <is>
          <t xml:space="preserve">6110309900</t>
        </is>
      </c>
      <c r="M266" t="inlineStr">
        <is>
          <t xml:space="preserve">Декларация № ЕАЭС № BY/112 11.01. ТР017 122.01 08246, до 19.04.2028</t>
        </is>
      </c>
      <c r="N266" t="inlineStr">
        <is>
          <t xml:space="preserve">36 × 28 × 2</t>
        </is>
      </c>
      <c r="O266" t="inlineStr">
        <is>
          <t xml:space="preserve">0,28</t>
        </is>
      </c>
      <c r="P266" t="inlineStr">
        <is>
          <t xml:space="preserve">4816148173034</t>
        </is>
      </c>
      <c r="Q266" s="3" t="str">
        <f>HYPERLINK("https://modify.by/img/668159380/1.webp","фото")</f>
        <v>фото</v>
      </c>
      <c r="R266" s="3" t="str">
        <f>HYPERLINK("https://modify.by/catalog/svitery/668159380/?utm_source=price&amp;utm_medium=xlsx","открыть")</f>
        <v>открыть</v>
      </c>
    </row>
    <row r="267">
      <c r="A267" t="inlineStr">
        <is>
          <t xml:space="preserve">Женский</t>
        </is>
      </c>
      <c r="B267" t="inlineStr">
        <is>
          <t xml:space="preserve">Свитеры</t>
        </is>
      </c>
      <c r="C267" t="inlineStr">
        <is>
          <t xml:space="preserve">Свитер водолазка, черный</t>
        </is>
      </c>
      <c r="D267" t="inlineStr">
        <is>
          <t xml:space="preserve">SW62W01черный</t>
        </is>
      </c>
      <c r="E267" t="inlineStr">
        <is>
          <t xml:space="preserve">черный</t>
        </is>
      </c>
      <c r="F267" t="inlineStr">
        <is>
          <t xml:space="preserve">50</t>
        </is>
      </c>
      <c r="G267">
        <v>3</v>
      </c>
      <c r="H267" s="2">
        <v>25.0</v>
      </c>
      <c r="I267" t="inlineStr">
        <is>
          <t xml:space="preserve">50% вискоза,30% п/э,20% нейлон</t>
        </is>
      </c>
      <c r="J267"/>
      <c r="K267" t="inlineStr">
        <is>
          <t xml:space="preserve">Бангладеш</t>
        </is>
      </c>
      <c r="L267" t="inlineStr">
        <is>
          <t xml:space="preserve">6110309900</t>
        </is>
      </c>
      <c r="M267" t="inlineStr">
        <is>
          <t xml:space="preserve">Декларация № ЕАЭС № BY/112 11.01. ТР017 122.01 08246, до 19.04.2028</t>
        </is>
      </c>
      <c r="N267" t="inlineStr">
        <is>
          <t xml:space="preserve">36 × 28 × 2</t>
        </is>
      </c>
      <c r="O267" t="inlineStr">
        <is>
          <t xml:space="preserve">0,28</t>
        </is>
      </c>
      <c r="P267" t="inlineStr">
        <is>
          <t xml:space="preserve">4816148173058</t>
        </is>
      </c>
      <c r="Q267" s="3" t="str">
        <f>HYPERLINK("https://modify.by/img/668159380/1.webp","фото")</f>
        <v>фото</v>
      </c>
      <c r="R267" s="3" t="str">
        <f>HYPERLINK("https://modify.by/catalog/svitery/668159380/?utm_source=price&amp;utm_medium=xlsx","открыть")</f>
        <v>открыть</v>
      </c>
    </row>
    <row r="268">
      <c r="A268" t="inlineStr">
        <is>
          <t xml:space="preserve">Женский</t>
        </is>
      </c>
      <c r="B268" t="inlineStr">
        <is>
          <t xml:space="preserve">Свитеры</t>
        </is>
      </c>
      <c r="C268" t="inlineStr">
        <is>
          <t xml:space="preserve">Свитер вязаный с горлом, бордовый</t>
        </is>
      </c>
      <c r="D268" t="inlineStr">
        <is>
          <t xml:space="preserve">SW42W04бордовый</t>
        </is>
      </c>
      <c r="E268" t="inlineStr">
        <is>
          <t xml:space="preserve">бордовый, темно-красный, винный, марсала</t>
        </is>
      </c>
      <c r="F268" t="inlineStr">
        <is>
          <t xml:space="preserve">46</t>
        </is>
      </c>
      <c r="G268">
        <v>5</v>
      </c>
      <c r="H268" s="2">
        <v>27.0</v>
      </c>
      <c r="I268" t="inlineStr">
        <is>
          <t xml:space="preserve">100% акрил</t>
        </is>
      </c>
      <c r="J268"/>
      <c r="K268" t="inlineStr">
        <is>
          <t xml:space="preserve">Бангладеш</t>
        </is>
      </c>
      <c r="L268" t="inlineStr">
        <is>
          <t xml:space="preserve">6110309900</t>
        </is>
      </c>
      <c r="M268" t="inlineStr">
        <is>
          <t xml:space="preserve">Декларация № ЕАЭС № BY/112 11.01. ТР017 122.01 08246, до 19.04.2028</t>
        </is>
      </c>
      <c r="N268" t="inlineStr">
        <is>
          <t xml:space="preserve">31 × 25 × 2</t>
        </is>
      </c>
      <c r="O268" t="inlineStr">
        <is>
          <t xml:space="preserve">0,36</t>
        </is>
      </c>
      <c r="P268" t="inlineStr">
        <is>
          <t xml:space="preserve">4816148138538</t>
        </is>
      </c>
      <c r="Q268" s="3" t="str">
        <f>HYPERLINK("https://modify.by/img/258246507/1.webp","фото")</f>
        <v>фото</v>
      </c>
      <c r="R268" s="3" t="str">
        <f>HYPERLINK("https://modify.by/catalog/svitery/258246507/?utm_source=price&amp;utm_medium=xlsx","открыть")</f>
        <v>открыть</v>
      </c>
    </row>
    <row r="269">
      <c r="A269" t="inlineStr">
        <is>
          <t xml:space="preserve">Женский</t>
        </is>
      </c>
      <c r="B269" t="inlineStr">
        <is>
          <t xml:space="preserve">Свитеры</t>
        </is>
      </c>
      <c r="C269" t="inlineStr">
        <is>
          <t xml:space="preserve">Свитер вязаный с горлом, песочный</t>
        </is>
      </c>
      <c r="D269" t="inlineStr">
        <is>
          <t xml:space="preserve">SW42W04песочный</t>
        </is>
      </c>
      <c r="E269" t="inlineStr">
        <is>
          <t xml:space="preserve">песочный, светло-бежевый, светло-коричневый, кэмел</t>
        </is>
      </c>
      <c r="F269" t="inlineStr">
        <is>
          <t xml:space="preserve">44</t>
        </is>
      </c>
      <c r="G269">
        <v>68</v>
      </c>
      <c r="H269" s="2">
        <v>27.0</v>
      </c>
      <c r="I269" t="inlineStr">
        <is>
          <t xml:space="preserve">100% акрил</t>
        </is>
      </c>
      <c r="J269"/>
      <c r="K269" t="inlineStr">
        <is>
          <t xml:space="preserve">Бангладеш</t>
        </is>
      </c>
      <c r="L269" t="inlineStr">
        <is>
          <t xml:space="preserve">6110309900</t>
        </is>
      </c>
      <c r="M269" t="inlineStr">
        <is>
          <t xml:space="preserve">Декларация № ЕАЭС № BY/112 11.01. ТР017 122.01 08246, до 19.04.2028</t>
        </is>
      </c>
      <c r="N269" t="inlineStr">
        <is>
          <t xml:space="preserve">31 × 25 × 2</t>
        </is>
      </c>
      <c r="O269" t="inlineStr">
        <is>
          <t xml:space="preserve">0,36</t>
        </is>
      </c>
      <c r="P269" t="inlineStr">
        <is>
          <t xml:space="preserve">4816148138422</t>
        </is>
      </c>
      <c r="Q269" s="3" t="str">
        <f>HYPERLINK("https://modify.by/img/258246505/1.webp","фото")</f>
        <v>фото</v>
      </c>
      <c r="R269" s="3" t="str">
        <f>HYPERLINK("https://modify.by/catalog/svitery/258246505/?utm_source=price&amp;utm_medium=xlsx","открыть")</f>
        <v>открыть</v>
      </c>
    </row>
    <row r="270">
      <c r="A270" t="inlineStr">
        <is>
          <t xml:space="preserve">Женский</t>
        </is>
      </c>
      <c r="B270" t="inlineStr">
        <is>
          <t xml:space="preserve">Свитеры</t>
        </is>
      </c>
      <c r="C270" t="inlineStr">
        <is>
          <t xml:space="preserve">Свитер вязаный с горлом, песочный</t>
        </is>
      </c>
      <c r="D270" t="inlineStr">
        <is>
          <t xml:space="preserve">SW42W04песочный</t>
        </is>
      </c>
      <c r="E270" t="inlineStr">
        <is>
          <t xml:space="preserve">песочный, светло-бежевый, светло-коричневый, кэмел</t>
        </is>
      </c>
      <c r="F270" t="inlineStr">
        <is>
          <t xml:space="preserve">46</t>
        </is>
      </c>
      <c r="G270">
        <v>9</v>
      </c>
      <c r="H270" s="2">
        <v>27.0</v>
      </c>
      <c r="I270" t="inlineStr">
        <is>
          <t xml:space="preserve">100% акрил</t>
        </is>
      </c>
      <c r="J270"/>
      <c r="K270" t="inlineStr">
        <is>
          <t xml:space="preserve">Бангладеш</t>
        </is>
      </c>
      <c r="L270" t="inlineStr">
        <is>
          <t xml:space="preserve">6110309900</t>
        </is>
      </c>
      <c r="M270" t="inlineStr">
        <is>
          <t xml:space="preserve">Декларация № ЕАЭС № BY/112 11.01. ТР017 122.01 08246, до 19.04.2028</t>
        </is>
      </c>
      <c r="N270" t="inlineStr">
        <is>
          <t xml:space="preserve">31 × 25 × 2</t>
        </is>
      </c>
      <c r="O270" t="inlineStr">
        <is>
          <t xml:space="preserve">0,36</t>
        </is>
      </c>
      <c r="P270" t="inlineStr">
        <is>
          <t xml:space="preserve">4816148138439</t>
        </is>
      </c>
      <c r="Q270" s="3" t="str">
        <f>HYPERLINK("https://modify.by/img/258246505/1.webp","фото")</f>
        <v>фото</v>
      </c>
      <c r="R270" s="3" t="str">
        <f>HYPERLINK("https://modify.by/catalog/svitery/258246505/?utm_source=price&amp;utm_medium=xlsx","открыть")</f>
        <v>открыть</v>
      </c>
    </row>
    <row r="271">
      <c r="A271" t="inlineStr">
        <is>
          <t xml:space="preserve">Женский</t>
        </is>
      </c>
      <c r="B271" t="inlineStr">
        <is>
          <t xml:space="preserve">Свитеры</t>
        </is>
      </c>
      <c r="C271" t="inlineStr">
        <is>
          <t xml:space="preserve">Свитер вязаный с горлом, песочный</t>
        </is>
      </c>
      <c r="D271" t="inlineStr">
        <is>
          <t xml:space="preserve">SW42W04песочный</t>
        </is>
      </c>
      <c r="E271" t="inlineStr">
        <is>
          <t xml:space="preserve">песочный, светло-бежевый, светло-коричневый, кэмел</t>
        </is>
      </c>
      <c r="F271" t="inlineStr">
        <is>
          <t xml:space="preserve">48</t>
        </is>
      </c>
      <c r="G271">
        <v>17</v>
      </c>
      <c r="H271" s="2">
        <v>27.0</v>
      </c>
      <c r="I271" t="inlineStr">
        <is>
          <t xml:space="preserve">100% акрил</t>
        </is>
      </c>
      <c r="J271"/>
      <c r="K271" t="inlineStr">
        <is>
          <t xml:space="preserve">Бангладеш</t>
        </is>
      </c>
      <c r="L271" t="inlineStr">
        <is>
          <t xml:space="preserve">6110309900</t>
        </is>
      </c>
      <c r="M271" t="inlineStr">
        <is>
          <t xml:space="preserve">Декларация № ЕАЭС № BY/112 11.01. ТР017 122.01 08246, до 19.04.2028</t>
        </is>
      </c>
      <c r="N271" t="inlineStr">
        <is>
          <t xml:space="preserve">31 × 25 × 2</t>
        </is>
      </c>
      <c r="O271" t="inlineStr">
        <is>
          <t xml:space="preserve">0,36</t>
        </is>
      </c>
      <c r="P271" t="inlineStr">
        <is>
          <t xml:space="preserve">4816148138446</t>
        </is>
      </c>
      <c r="Q271" s="3" t="str">
        <f>HYPERLINK("https://modify.by/img/258246505/1.webp","фото")</f>
        <v>фото</v>
      </c>
      <c r="R271" s="3" t="str">
        <f>HYPERLINK("https://modify.by/catalog/svitery/258246505/?utm_source=price&amp;utm_medium=xlsx","открыть")</f>
        <v>открыть</v>
      </c>
    </row>
    <row r="272">
      <c r="A272" t="inlineStr">
        <is>
          <t xml:space="preserve">Женский</t>
        </is>
      </c>
      <c r="B272" t="inlineStr">
        <is>
          <t xml:space="preserve">Свитеры</t>
        </is>
      </c>
      <c r="C272" t="inlineStr">
        <is>
          <t xml:space="preserve">Свитер вязаный с горлом, серый</t>
        </is>
      </c>
      <c r="D272" t="inlineStr">
        <is>
          <t xml:space="preserve">SW42W04серый</t>
        </is>
      </c>
      <c r="E272" t="inlineStr">
        <is>
          <t xml:space="preserve">серый</t>
        </is>
      </c>
      <c r="F272" t="inlineStr">
        <is>
          <t xml:space="preserve">44</t>
        </is>
      </c>
      <c r="G272">
        <v>11</v>
      </c>
      <c r="H272" s="2">
        <v>27.0</v>
      </c>
      <c r="I272" t="inlineStr">
        <is>
          <t xml:space="preserve">100% акрил</t>
        </is>
      </c>
      <c r="J272"/>
      <c r="K272" t="inlineStr">
        <is>
          <t xml:space="preserve">Бангладеш</t>
        </is>
      </c>
      <c r="L272" t="inlineStr">
        <is>
          <t xml:space="preserve">6110309900</t>
        </is>
      </c>
      <c r="M272" t="inlineStr">
        <is>
          <t xml:space="preserve">Декларация № ЕАЭС № BY/112 11.01. ТР017 122.01 08246, до 19.04.2028</t>
        </is>
      </c>
      <c r="N272" t="inlineStr">
        <is>
          <t xml:space="preserve">31 × 25 × 2</t>
        </is>
      </c>
      <c r="O272" t="inlineStr">
        <is>
          <t xml:space="preserve">0,36</t>
        </is>
      </c>
      <c r="P272" t="inlineStr">
        <is>
          <t xml:space="preserve">4816148138477</t>
        </is>
      </c>
      <c r="Q272" s="3" t="str">
        <f>HYPERLINK("https://modify.by/img/258246506/1.webp","фото")</f>
        <v>фото</v>
      </c>
      <c r="R272" s="3" t="str">
        <f>HYPERLINK("https://modify.by/catalog/svitery/258246506/?utm_source=price&amp;utm_medium=xlsx","открыть")</f>
        <v>открыть</v>
      </c>
    </row>
    <row r="273">
      <c r="A273" t="inlineStr">
        <is>
          <t xml:space="preserve">Женский</t>
        </is>
      </c>
      <c r="B273" t="inlineStr">
        <is>
          <t xml:space="preserve">Свитеры</t>
        </is>
      </c>
      <c r="C273" t="inlineStr">
        <is>
          <t xml:space="preserve">Свитер вязаный с горлом, серый</t>
        </is>
      </c>
      <c r="D273" t="inlineStr">
        <is>
          <t xml:space="preserve">SW42W04серый</t>
        </is>
      </c>
      <c r="E273" t="inlineStr">
        <is>
          <t xml:space="preserve">серый</t>
        </is>
      </c>
      <c r="F273" t="inlineStr">
        <is>
          <t xml:space="preserve">46</t>
        </is>
      </c>
      <c r="G273">
        <v>76</v>
      </c>
      <c r="H273" s="2">
        <v>27.0</v>
      </c>
      <c r="I273" t="inlineStr">
        <is>
          <t xml:space="preserve">100% акрил</t>
        </is>
      </c>
      <c r="J273"/>
      <c r="K273" t="inlineStr">
        <is>
          <t xml:space="preserve">Бангладеш</t>
        </is>
      </c>
      <c r="L273" t="inlineStr">
        <is>
          <t xml:space="preserve">6110309900</t>
        </is>
      </c>
      <c r="M273" t="inlineStr">
        <is>
          <t xml:space="preserve">Декларация № ЕАЭС № BY/112 11.01. ТР017 122.01 08246, до 19.04.2028</t>
        </is>
      </c>
      <c r="N273" t="inlineStr">
        <is>
          <t xml:space="preserve">31 × 25 × 2</t>
        </is>
      </c>
      <c r="O273" t="inlineStr">
        <is>
          <t xml:space="preserve">0,36</t>
        </is>
      </c>
      <c r="P273" t="inlineStr">
        <is>
          <t xml:space="preserve">4816148138484</t>
        </is>
      </c>
      <c r="Q273" s="3" t="str">
        <f>HYPERLINK("https://modify.by/img/258246506/1.webp","фото")</f>
        <v>фото</v>
      </c>
      <c r="R273" s="3" t="str">
        <f>HYPERLINK("https://modify.by/catalog/svitery/258246506/?utm_source=price&amp;utm_medium=xlsx","открыть")</f>
        <v>открыть</v>
      </c>
    </row>
    <row r="274">
      <c r="A274" t="inlineStr">
        <is>
          <t xml:space="preserve">Женский</t>
        </is>
      </c>
      <c r="B274" t="inlineStr">
        <is>
          <t xml:space="preserve">Свитеры</t>
        </is>
      </c>
      <c r="C274" t="inlineStr">
        <is>
          <t xml:space="preserve">Свитер вязаный с горлом, серый</t>
        </is>
      </c>
      <c r="D274" t="inlineStr">
        <is>
          <t xml:space="preserve">SW42W04серый</t>
        </is>
      </c>
      <c r="E274" t="inlineStr">
        <is>
          <t xml:space="preserve">серый</t>
        </is>
      </c>
      <c r="F274" t="inlineStr">
        <is>
          <t xml:space="preserve">48</t>
        </is>
      </c>
      <c r="G274">
        <v>40</v>
      </c>
      <c r="H274" s="2">
        <v>27.0</v>
      </c>
      <c r="I274" t="inlineStr">
        <is>
          <t xml:space="preserve">100% акрил</t>
        </is>
      </c>
      <c r="J274"/>
      <c r="K274" t="inlineStr">
        <is>
          <t xml:space="preserve">Бангладеш</t>
        </is>
      </c>
      <c r="L274" t="inlineStr">
        <is>
          <t xml:space="preserve">6110309900</t>
        </is>
      </c>
      <c r="M274" t="inlineStr">
        <is>
          <t xml:space="preserve">Декларация № ЕАЭС № BY/112 11.01. ТР017 122.01 08246, до 19.04.2028</t>
        </is>
      </c>
      <c r="N274" t="inlineStr">
        <is>
          <t xml:space="preserve">31 × 25 × 2</t>
        </is>
      </c>
      <c r="O274" t="inlineStr">
        <is>
          <t xml:space="preserve">0,36</t>
        </is>
      </c>
      <c r="P274" t="inlineStr">
        <is>
          <t xml:space="preserve">4816148138491</t>
        </is>
      </c>
      <c r="Q274" s="3" t="str">
        <f>HYPERLINK("https://modify.by/img/258246506/1.webp","фото")</f>
        <v>фото</v>
      </c>
      <c r="R274" s="3" t="str">
        <f>HYPERLINK("https://modify.by/catalog/svitery/258246506/?utm_source=price&amp;utm_medium=xlsx","открыть")</f>
        <v>открыть</v>
      </c>
    </row>
    <row r="275">
      <c r="A275" t="inlineStr">
        <is>
          <t xml:space="preserve">Женский</t>
        </is>
      </c>
      <c r="B275" t="inlineStr">
        <is>
          <t xml:space="preserve">Свитеры</t>
        </is>
      </c>
      <c r="C275" t="inlineStr">
        <is>
          <t xml:space="preserve">Свитер вязаный с горлом, черный</t>
        </is>
      </c>
      <c r="D275" t="inlineStr">
        <is>
          <t xml:space="preserve">SW42W04черный</t>
        </is>
      </c>
      <c r="E275" t="inlineStr">
        <is>
          <t xml:space="preserve">черный</t>
        </is>
      </c>
      <c r="F275" t="inlineStr">
        <is>
          <t xml:space="preserve">42</t>
        </is>
      </c>
      <c r="G275">
        <v>11</v>
      </c>
      <c r="H275" s="2">
        <v>27.0</v>
      </c>
      <c r="I275" t="inlineStr">
        <is>
          <t xml:space="preserve">100% акрил</t>
        </is>
      </c>
      <c r="J275"/>
      <c r="K275" t="inlineStr">
        <is>
          <t xml:space="preserve">Бангладеш</t>
        </is>
      </c>
      <c r="L275" t="inlineStr">
        <is>
          <t xml:space="preserve">6110309900</t>
        </is>
      </c>
      <c r="M275" t="inlineStr">
        <is>
          <t xml:space="preserve">Декларация № ЕАЭС № BY/112 11.01. ТР017 122.01 08246, до 19.04.2028</t>
        </is>
      </c>
      <c r="N275" t="inlineStr">
        <is>
          <t xml:space="preserve">31 × 25 × 2</t>
        </is>
      </c>
      <c r="O275" t="inlineStr">
        <is>
          <t xml:space="preserve">0,36</t>
        </is>
      </c>
      <c r="P275" t="inlineStr">
        <is>
          <t xml:space="preserve">4816148138361</t>
        </is>
      </c>
      <c r="Q275" s="3" t="str">
        <f>HYPERLINK("https://modify.by/img/258246504/1.webp","фото")</f>
        <v>фото</v>
      </c>
      <c r="R275" s="3" t="str">
        <f>HYPERLINK("https://modify.by/catalog/svitery/258246504/?utm_source=price&amp;utm_medium=xlsx","открыть")</f>
        <v>открыть</v>
      </c>
    </row>
    <row r="276">
      <c r="A276" t="inlineStr">
        <is>
          <t xml:space="preserve">Женский</t>
        </is>
      </c>
      <c r="B276" t="inlineStr">
        <is>
          <t xml:space="preserve">Свитеры</t>
        </is>
      </c>
      <c r="C276" t="inlineStr">
        <is>
          <t xml:space="preserve">Свитер вязаный с горлом, черный</t>
        </is>
      </c>
      <c r="D276" t="inlineStr">
        <is>
          <t xml:space="preserve">SW42W04черный</t>
        </is>
      </c>
      <c r="E276" t="inlineStr">
        <is>
          <t xml:space="preserve">черный</t>
        </is>
      </c>
      <c r="F276" t="inlineStr">
        <is>
          <t xml:space="preserve">44</t>
        </is>
      </c>
      <c r="G276">
        <v>103</v>
      </c>
      <c r="H276" s="2">
        <v>27.0</v>
      </c>
      <c r="I276" t="inlineStr">
        <is>
          <t xml:space="preserve">100% акрил</t>
        </is>
      </c>
      <c r="J276"/>
      <c r="K276" t="inlineStr">
        <is>
          <t xml:space="preserve">Бангладеш</t>
        </is>
      </c>
      <c r="L276" t="inlineStr">
        <is>
          <t xml:space="preserve">6110309900</t>
        </is>
      </c>
      <c r="M276" t="inlineStr">
        <is>
          <t xml:space="preserve">Декларация № ЕАЭС № BY/112 11.01. ТР017 122.01 08246, до 19.04.2028</t>
        </is>
      </c>
      <c r="N276" t="inlineStr">
        <is>
          <t xml:space="preserve">31 × 25 × 2</t>
        </is>
      </c>
      <c r="O276" t="inlineStr">
        <is>
          <t xml:space="preserve">0,36</t>
        </is>
      </c>
      <c r="P276" t="inlineStr">
        <is>
          <t xml:space="preserve">4816148138378</t>
        </is>
      </c>
      <c r="Q276" s="3" t="str">
        <f>HYPERLINK("https://modify.by/img/258246504/1.webp","фото")</f>
        <v>фото</v>
      </c>
      <c r="R276" s="3" t="str">
        <f>HYPERLINK("https://modify.by/catalog/svitery/258246504/?utm_source=price&amp;utm_medium=xlsx","открыть")</f>
        <v>открыть</v>
      </c>
    </row>
    <row r="277">
      <c r="A277" t="inlineStr">
        <is>
          <t xml:space="preserve">Женский</t>
        </is>
      </c>
      <c r="B277" t="inlineStr">
        <is>
          <t xml:space="preserve">Свитеры</t>
        </is>
      </c>
      <c r="C277" t="inlineStr">
        <is>
          <t xml:space="preserve">Свитер вязаный с горлом, черный</t>
        </is>
      </c>
      <c r="D277" t="inlineStr">
        <is>
          <t xml:space="preserve">SW42W04черный</t>
        </is>
      </c>
      <c r="E277" t="inlineStr">
        <is>
          <t xml:space="preserve">черный</t>
        </is>
      </c>
      <c r="F277" t="inlineStr">
        <is>
          <t xml:space="preserve">46</t>
        </is>
      </c>
      <c r="G277">
        <v>37</v>
      </c>
      <c r="H277" s="2">
        <v>27.0</v>
      </c>
      <c r="I277" t="inlineStr">
        <is>
          <t xml:space="preserve">100% акрил</t>
        </is>
      </c>
      <c r="J277"/>
      <c r="K277" t="inlineStr">
        <is>
          <t xml:space="preserve">Бангладеш</t>
        </is>
      </c>
      <c r="L277" t="inlineStr">
        <is>
          <t xml:space="preserve">6110309900</t>
        </is>
      </c>
      <c r="M277" t="inlineStr">
        <is>
          <t xml:space="preserve">Декларация № ЕАЭС № BY/112 11.01. ТР017 122.01 08246, до 19.04.2028</t>
        </is>
      </c>
      <c r="N277" t="inlineStr">
        <is>
          <t xml:space="preserve">31 × 25 × 2</t>
        </is>
      </c>
      <c r="O277" t="inlineStr">
        <is>
          <t xml:space="preserve">0,36</t>
        </is>
      </c>
      <c r="P277" t="inlineStr">
        <is>
          <t xml:space="preserve">4816148138385</t>
        </is>
      </c>
      <c r="Q277" s="3" t="str">
        <f>HYPERLINK("https://modify.by/img/258246504/1.webp","фото")</f>
        <v>фото</v>
      </c>
      <c r="R277" s="3" t="str">
        <f>HYPERLINK("https://modify.by/catalog/svitery/258246504/?utm_source=price&amp;utm_medium=xlsx","открыть")</f>
        <v>открыть</v>
      </c>
    </row>
    <row r="278">
      <c r="A278" t="inlineStr">
        <is>
          <t xml:space="preserve">Женский</t>
        </is>
      </c>
      <c r="B278" t="inlineStr">
        <is>
          <t xml:space="preserve">Свитеры</t>
        </is>
      </c>
      <c r="C278" t="inlineStr">
        <is>
          <t xml:space="preserve">Свитер вязаный с горлом, черный</t>
        </is>
      </c>
      <c r="D278" t="inlineStr">
        <is>
          <t xml:space="preserve">SW42W04черный</t>
        </is>
      </c>
      <c r="E278" t="inlineStr">
        <is>
          <t xml:space="preserve">черный</t>
        </is>
      </c>
      <c r="F278" t="inlineStr">
        <is>
          <t xml:space="preserve">48</t>
        </is>
      </c>
      <c r="G278">
        <v>1</v>
      </c>
      <c r="H278" s="2">
        <v>27.0</v>
      </c>
      <c r="I278" t="inlineStr">
        <is>
          <t xml:space="preserve">100% акрил</t>
        </is>
      </c>
      <c r="J278"/>
      <c r="K278" t="inlineStr">
        <is>
          <t xml:space="preserve">Бангладеш</t>
        </is>
      </c>
      <c r="L278" t="inlineStr">
        <is>
          <t xml:space="preserve">6110309900</t>
        </is>
      </c>
      <c r="M278" t="inlineStr">
        <is>
          <t xml:space="preserve">Декларация № ЕАЭС № BY/112 11.01. ТР017 122.01 08246, до 19.04.2028</t>
        </is>
      </c>
      <c r="N278" t="inlineStr">
        <is>
          <t xml:space="preserve">31 × 25 × 2</t>
        </is>
      </c>
      <c r="O278" t="inlineStr">
        <is>
          <t xml:space="preserve">0,36</t>
        </is>
      </c>
      <c r="P278" t="inlineStr">
        <is>
          <t xml:space="preserve">4816148138392</t>
        </is>
      </c>
      <c r="Q278" s="3" t="str">
        <f>HYPERLINK("https://modify.by/img/258246504/1.webp","фото")</f>
        <v>фото</v>
      </c>
      <c r="R278" s="3" t="str">
        <f>HYPERLINK("https://modify.by/catalog/svitery/258246504/?utm_source=price&amp;utm_medium=xlsx","открыть")</f>
        <v>открыть</v>
      </c>
    </row>
    <row r="279">
      <c r="A279" t="inlineStr">
        <is>
          <t xml:space="preserve">Женский</t>
        </is>
      </c>
      <c r="B279" t="inlineStr">
        <is>
          <t xml:space="preserve">Свитеры</t>
        </is>
      </c>
      <c r="C279" t="inlineStr">
        <is>
          <t xml:space="preserve">Свитер оверсайз больших размеров с V-вырезом</t>
        </is>
      </c>
      <c r="D279" t="inlineStr">
        <is>
          <t xml:space="preserve">JU62W02черный,белый</t>
        </is>
      </c>
      <c r="E279" t="inlineStr">
        <is>
          <t xml:space="preserve">черный, белый</t>
        </is>
      </c>
      <c r="F279" t="inlineStr">
        <is>
          <t xml:space="preserve">46</t>
        </is>
      </c>
      <c r="G279">
        <v>43</v>
      </c>
      <c r="H279" s="2">
        <v>31.0</v>
      </c>
      <c r="I279" t="inlineStr">
        <is>
          <t xml:space="preserve">вискоза 87%, ПЭ 11%, Эластан 2%</t>
        </is>
      </c>
      <c r="J279"/>
      <c r="K279" t="inlineStr">
        <is>
          <t xml:space="preserve">Бангладеш</t>
        </is>
      </c>
      <c r="L279" t="inlineStr">
        <is>
          <t xml:space="preserve">6110309900</t>
        </is>
      </c>
      <c r="M279" t="inlineStr">
        <is>
          <t xml:space="preserve">Декларация № ЕАЭС № BY/112 11.01. ТР017 122.01 08246, до 19.04.2028</t>
        </is>
      </c>
      <c r="N279" t="inlineStr">
        <is>
          <t xml:space="preserve">35 × 30 × 5</t>
        </is>
      </c>
      <c r="O279" t="inlineStr">
        <is>
          <t xml:space="preserve">0,48</t>
        </is>
      </c>
      <c r="P279" t="inlineStr">
        <is>
          <t xml:space="preserve">4816148171801</t>
        </is>
      </c>
      <c r="Q279" s="3" t="str">
        <f>HYPERLINK("https://modify.by/img/619904623/1.webp","фото")</f>
        <v>фото</v>
      </c>
      <c r="R279" s="3" t="str">
        <f>HYPERLINK("https://modify.by/catalog/svitery/619904623/?utm_source=price&amp;utm_medium=xlsx","открыть")</f>
        <v>открыть</v>
      </c>
    </row>
    <row r="280">
      <c r="A280" t="inlineStr">
        <is>
          <t xml:space="preserve">Женский</t>
        </is>
      </c>
      <c r="B280" t="inlineStr">
        <is>
          <t xml:space="preserve">Свитеры</t>
        </is>
      </c>
      <c r="C280" t="inlineStr">
        <is>
          <t xml:space="preserve">Свитер оверсайз больших размеров с V-вырезом</t>
        </is>
      </c>
      <c r="D280" t="inlineStr">
        <is>
          <t xml:space="preserve">JU62W02черный,белый</t>
        </is>
      </c>
      <c r="E280" t="inlineStr">
        <is>
          <t xml:space="preserve">черный, белый</t>
        </is>
      </c>
      <c r="F280" t="inlineStr">
        <is>
          <t xml:space="preserve">48</t>
        </is>
      </c>
      <c r="G280">
        <v>18</v>
      </c>
      <c r="H280" s="2">
        <v>31.0</v>
      </c>
      <c r="I280" t="inlineStr">
        <is>
          <t xml:space="preserve">вискоза 87%, ПЭ 11%, Эластан 2%</t>
        </is>
      </c>
      <c r="J280"/>
      <c r="K280" t="inlineStr">
        <is>
          <t xml:space="preserve">Бангладеш</t>
        </is>
      </c>
      <c r="L280" t="inlineStr">
        <is>
          <t xml:space="preserve">6110309900</t>
        </is>
      </c>
      <c r="M280" t="inlineStr">
        <is>
          <t xml:space="preserve">Декларация № ЕАЭС № BY/112 11.01. ТР017 122.01 08246, до 19.04.2028</t>
        </is>
      </c>
      <c r="N280" t="inlineStr">
        <is>
          <t xml:space="preserve">35 × 30 × 5</t>
        </is>
      </c>
      <c r="O280" t="inlineStr">
        <is>
          <t xml:space="preserve">0,48</t>
        </is>
      </c>
      <c r="P280" t="inlineStr">
        <is>
          <t xml:space="preserve">4816148171818</t>
        </is>
      </c>
      <c r="Q280" s="3" t="str">
        <f>HYPERLINK("https://modify.by/img/619904623/1.webp","фото")</f>
        <v>фото</v>
      </c>
      <c r="R280" s="3" t="str">
        <f>HYPERLINK("https://modify.by/catalog/svitery/619904623/?utm_source=price&amp;utm_medium=xlsx","открыть")</f>
        <v>открыть</v>
      </c>
    </row>
    <row r="281">
      <c r="A281" t="inlineStr">
        <is>
          <t xml:space="preserve">Женский</t>
        </is>
      </c>
      <c r="B281" t="inlineStr">
        <is>
          <t xml:space="preserve">Свитеры</t>
        </is>
      </c>
      <c r="C281" t="inlineStr">
        <is>
          <t xml:space="preserve">Свитер оверсайз больших размеров с V-вырезом</t>
        </is>
      </c>
      <c r="D281" t="inlineStr">
        <is>
          <t xml:space="preserve">JU62W02черный,белый</t>
        </is>
      </c>
      <c r="E281" t="inlineStr">
        <is>
          <t xml:space="preserve">черный, белый</t>
        </is>
      </c>
      <c r="F281" t="inlineStr">
        <is>
          <t xml:space="preserve">50</t>
        </is>
      </c>
      <c r="G281">
        <v>61</v>
      </c>
      <c r="H281" s="2">
        <v>31.0</v>
      </c>
      <c r="I281" t="inlineStr">
        <is>
          <t xml:space="preserve">вискоза 87%, ПЭ 11%, Эластан 2%</t>
        </is>
      </c>
      <c r="J281"/>
      <c r="K281" t="inlineStr">
        <is>
          <t xml:space="preserve">Бангладеш</t>
        </is>
      </c>
      <c r="L281" t="inlineStr">
        <is>
          <t xml:space="preserve">6110309900</t>
        </is>
      </c>
      <c r="M281" t="inlineStr">
        <is>
          <t xml:space="preserve">Декларация № ЕАЭС № BY/112 11.01. ТР017 122.01 08246, до 19.04.2028</t>
        </is>
      </c>
      <c r="N281" t="inlineStr">
        <is>
          <t xml:space="preserve">35 × 30 × 5</t>
        </is>
      </c>
      <c r="O281" t="inlineStr">
        <is>
          <t xml:space="preserve">0,48</t>
        </is>
      </c>
      <c r="P281" t="inlineStr">
        <is>
          <t xml:space="preserve">4816148171825</t>
        </is>
      </c>
      <c r="Q281" s="3" t="str">
        <f>HYPERLINK("https://modify.by/img/619904623/1.webp","фото")</f>
        <v>фото</v>
      </c>
      <c r="R281" s="3" t="str">
        <f>HYPERLINK("https://modify.by/catalog/svitery/619904623/?utm_source=price&amp;utm_medium=xlsx","открыть")</f>
        <v>открыть</v>
      </c>
    </row>
    <row r="282">
      <c r="A282" t="inlineStr">
        <is>
          <t xml:space="preserve">Женский</t>
        </is>
      </c>
      <c r="B282" t="inlineStr">
        <is>
          <t xml:space="preserve">Свитеры</t>
        </is>
      </c>
      <c r="C282" t="inlineStr">
        <is>
          <t xml:space="preserve">Свитер оверсайз больших размеров с V-вырезом</t>
        </is>
      </c>
      <c r="D282" t="inlineStr">
        <is>
          <t xml:space="preserve">JU62W02черный,белый</t>
        </is>
      </c>
      <c r="E282" t="inlineStr">
        <is>
          <t xml:space="preserve">черный, белый</t>
        </is>
      </c>
      <c r="F282" t="inlineStr">
        <is>
          <t xml:space="preserve">52</t>
        </is>
      </c>
      <c r="G282">
        <v>22</v>
      </c>
      <c r="H282" s="2">
        <v>31.0</v>
      </c>
      <c r="I282" t="inlineStr">
        <is>
          <t xml:space="preserve">вискоза 87%, ПЭ 11%, Эластан 2%</t>
        </is>
      </c>
      <c r="J282"/>
      <c r="K282" t="inlineStr">
        <is>
          <t xml:space="preserve">Бангладеш</t>
        </is>
      </c>
      <c r="L282" t="inlineStr">
        <is>
          <t xml:space="preserve">6110309900</t>
        </is>
      </c>
      <c r="M282" t="inlineStr">
        <is>
          <t xml:space="preserve">Декларация № ЕАЭС № BY/112 11.01. ТР017 122.01 08246, до 19.04.2028</t>
        </is>
      </c>
      <c r="N282" t="inlineStr">
        <is>
          <t xml:space="preserve">35 × 30 × 5</t>
        </is>
      </c>
      <c r="O282" t="inlineStr">
        <is>
          <t xml:space="preserve">0,48</t>
        </is>
      </c>
      <c r="P282" t="inlineStr">
        <is>
          <t xml:space="preserve">4816148171832</t>
        </is>
      </c>
      <c r="Q282" s="3" t="str">
        <f>HYPERLINK("https://modify.by/img/619904623/1.webp","фото")</f>
        <v>фото</v>
      </c>
      <c r="R282" s="3" t="str">
        <f>HYPERLINK("https://modify.by/catalog/svitery/619904623/?utm_source=price&amp;utm_medium=xlsx","открыть")</f>
        <v>открыть</v>
      </c>
    </row>
    <row r="283">
      <c r="A283" t="inlineStr">
        <is>
          <t xml:space="preserve">Женский</t>
        </is>
      </c>
      <c r="B283" t="inlineStr">
        <is>
          <t xml:space="preserve">Свитеры</t>
        </is>
      </c>
      <c r="C283" t="inlineStr">
        <is>
          <t xml:space="preserve">Свитер оверсайз больших размеров с V-вырезом</t>
        </is>
      </c>
      <c r="D283" t="inlineStr">
        <is>
          <t xml:space="preserve">JU62W02черный,белый</t>
        </is>
      </c>
      <c r="E283" t="inlineStr">
        <is>
          <t xml:space="preserve">черный, белый</t>
        </is>
      </c>
      <c r="F283" t="inlineStr">
        <is>
          <t xml:space="preserve">54</t>
        </is>
      </c>
      <c r="G283">
        <v>3</v>
      </c>
      <c r="H283" s="2">
        <v>31.0</v>
      </c>
      <c r="I283" t="inlineStr">
        <is>
          <t xml:space="preserve">вискоза 87%, ПЭ 11%, Эластан 2%</t>
        </is>
      </c>
      <c r="J283"/>
      <c r="K283" t="inlineStr">
        <is>
          <t xml:space="preserve">Бангладеш</t>
        </is>
      </c>
      <c r="L283" t="inlineStr">
        <is>
          <t xml:space="preserve">6110309900</t>
        </is>
      </c>
      <c r="M283" t="inlineStr">
        <is>
          <t xml:space="preserve">Декларация № ЕАЭС № BY/112 11.01. ТР017 122.01 08246, до 19.04.2028</t>
        </is>
      </c>
      <c r="N283" t="inlineStr">
        <is>
          <t xml:space="preserve">35 × 30 × 5</t>
        </is>
      </c>
      <c r="O283" t="inlineStr">
        <is>
          <t xml:space="preserve">0,48</t>
        </is>
      </c>
      <c r="P283" t="inlineStr">
        <is>
          <t xml:space="preserve">4816148171849</t>
        </is>
      </c>
      <c r="Q283" s="3" t="str">
        <f>HYPERLINK("https://modify.by/img/619904623/1.webp","фото")</f>
        <v>фото</v>
      </c>
      <c r="R283" s="3" t="str">
        <f>HYPERLINK("https://modify.by/catalog/svitery/619904623/?utm_source=price&amp;utm_medium=xlsx","открыть")</f>
        <v>открыть</v>
      </c>
    </row>
    <row r="284">
      <c r="A284" t="inlineStr">
        <is>
          <t xml:space="preserve">Женский</t>
        </is>
      </c>
      <c r="B284" t="inlineStr">
        <is>
          <t xml:space="preserve">Свитеры</t>
        </is>
      </c>
      <c r="C284" t="inlineStr">
        <is>
          <t xml:space="preserve">Свитер оверсайз больших размеров с V-вырезом</t>
        </is>
      </c>
      <c r="D284" t="inlineStr">
        <is>
          <t xml:space="preserve">JU62W02черный,белый</t>
        </is>
      </c>
      <c r="E284" t="inlineStr">
        <is>
          <t xml:space="preserve">черный, белый</t>
        </is>
      </c>
      <c r="F284" t="inlineStr">
        <is>
          <t xml:space="preserve">58</t>
        </is>
      </c>
      <c r="G284">
        <v>3</v>
      </c>
      <c r="H284" s="2">
        <v>31.0</v>
      </c>
      <c r="I284" t="inlineStr">
        <is>
          <t xml:space="preserve">вискоза 87%, ПЭ 11%, Эластан 2%</t>
        </is>
      </c>
      <c r="J284"/>
      <c r="K284" t="inlineStr">
        <is>
          <t xml:space="preserve">Бангладеш</t>
        </is>
      </c>
      <c r="L284" t="inlineStr">
        <is>
          <t xml:space="preserve">6110309900</t>
        </is>
      </c>
      <c r="M284" t="inlineStr">
        <is>
          <t xml:space="preserve">Декларация № ЕАЭС № BY/112 11.01. ТР017 122.01 08246, до 19.04.2028</t>
        </is>
      </c>
      <c r="N284" t="inlineStr">
        <is>
          <t xml:space="preserve">35 × 30 × 5</t>
        </is>
      </c>
      <c r="O284" t="inlineStr">
        <is>
          <t xml:space="preserve">0,48</t>
        </is>
      </c>
      <c r="P284" t="inlineStr">
        <is>
          <t xml:space="preserve">4816148171863</t>
        </is>
      </c>
      <c r="Q284" s="3" t="str">
        <f>HYPERLINK("https://modify.by/img/619904623/1.webp","фото")</f>
        <v>фото</v>
      </c>
      <c r="R284" s="3" t="str">
        <f>HYPERLINK("https://modify.by/catalog/svitery/619904623/?utm_source=price&amp;utm_medium=xlsx","открыть")</f>
        <v>открыть</v>
      </c>
    </row>
    <row r="285">
      <c r="A285" t="inlineStr">
        <is>
          <t xml:space="preserve">Женский</t>
        </is>
      </c>
      <c r="B285" t="inlineStr">
        <is>
          <t xml:space="preserve">Свитеры</t>
        </is>
      </c>
      <c r="C285" t="inlineStr">
        <is>
          <t xml:space="preserve">Свитер оверсайз розовый теплый</t>
        </is>
      </c>
      <c r="D285" t="inlineStr">
        <is>
          <t xml:space="preserve">SW42W06розовый</t>
        </is>
      </c>
      <c r="E285" t="inlineStr">
        <is>
          <t xml:space="preserve">розовый</t>
        </is>
      </c>
      <c r="F285" t="inlineStr">
        <is>
          <t xml:space="preserve">50</t>
        </is>
      </c>
      <c r="G285">
        <v>27</v>
      </c>
      <c r="H285" s="2">
        <v>28.0</v>
      </c>
      <c r="I285" t="inlineStr">
        <is>
          <t xml:space="preserve">52% акрил, 25% полиэстер, 14% полиамид, 9% шерсть</t>
        </is>
      </c>
      <c r="J285"/>
      <c r="K285" t="inlineStr">
        <is>
          <t xml:space="preserve">Бангладеш</t>
        </is>
      </c>
      <c r="L285" t="inlineStr">
        <is>
          <t xml:space="preserve">6110309900</t>
        </is>
      </c>
      <c r="M285" t="inlineStr">
        <is>
          <t xml:space="preserve">Декларация № ЕАЭС № BY/112 11.01. ТР017 122.01 08246, до 19.04.2028</t>
        </is>
      </c>
      <c r="N285" t="inlineStr">
        <is>
          <t xml:space="preserve">34 × 25 × 3</t>
        </is>
      </c>
      <c r="O285" t="inlineStr">
        <is>
          <t xml:space="preserve">0,45</t>
        </is>
      </c>
      <c r="P285" t="inlineStr">
        <is>
          <t xml:space="preserve">4816148138576</t>
        </is>
      </c>
      <c r="Q285" s="3" t="str">
        <f>HYPERLINK("https://modify.by/img/258246514/1.webp","фото")</f>
        <v>фото</v>
      </c>
      <c r="R285" s="3" t="str">
        <f>HYPERLINK("https://modify.by/catalog/svitery/258246514/?utm_source=price&amp;utm_medium=xlsx","открыть")</f>
        <v>открыть</v>
      </c>
    </row>
    <row r="286">
      <c r="A286" t="inlineStr">
        <is>
          <t xml:space="preserve">Женский</t>
        </is>
      </c>
      <c r="B286" t="inlineStr">
        <is>
          <t xml:space="preserve">Свитеры</t>
        </is>
      </c>
      <c r="C286" t="inlineStr">
        <is>
          <t xml:space="preserve">Свитер оверсайз розовый теплый</t>
        </is>
      </c>
      <c r="D286" t="inlineStr">
        <is>
          <t xml:space="preserve">SW42W06розовый</t>
        </is>
      </c>
      <c r="E286" t="inlineStr">
        <is>
          <t xml:space="preserve">розовый</t>
        </is>
      </c>
      <c r="F286" t="inlineStr">
        <is>
          <t xml:space="preserve">52</t>
        </is>
      </c>
      <c r="G286">
        <v>35</v>
      </c>
      <c r="H286" s="2">
        <v>28.0</v>
      </c>
      <c r="I286" t="inlineStr">
        <is>
          <t xml:space="preserve">52% акрил, 25% полиэстер, 14% полиамид, 9% шерсть</t>
        </is>
      </c>
      <c r="J286"/>
      <c r="K286" t="inlineStr">
        <is>
          <t xml:space="preserve">Бангладеш</t>
        </is>
      </c>
      <c r="L286" t="inlineStr">
        <is>
          <t xml:space="preserve">6110309900</t>
        </is>
      </c>
      <c r="M286" t="inlineStr">
        <is>
          <t xml:space="preserve">Декларация № ЕАЭС № BY/112 11.01. ТР017 122.01 08246, до 19.04.2028</t>
        </is>
      </c>
      <c r="N286" t="inlineStr">
        <is>
          <t xml:space="preserve">34 × 25 × 3</t>
        </is>
      </c>
      <c r="O286" t="inlineStr">
        <is>
          <t xml:space="preserve">0,45</t>
        </is>
      </c>
      <c r="P286" t="inlineStr">
        <is>
          <t xml:space="preserve">4816148138583</t>
        </is>
      </c>
      <c r="Q286" s="3" t="str">
        <f>HYPERLINK("https://modify.by/img/258246514/1.webp","фото")</f>
        <v>фото</v>
      </c>
      <c r="R286" s="3" t="str">
        <f>HYPERLINK("https://modify.by/catalog/svitery/258246514/?utm_source=price&amp;utm_medium=xlsx","открыть")</f>
        <v>открыть</v>
      </c>
    </row>
    <row r="287">
      <c r="A287" t="inlineStr">
        <is>
          <t xml:space="preserve">Женский</t>
        </is>
      </c>
      <c r="B287" t="inlineStr">
        <is>
          <t xml:space="preserve">Свитеры</t>
        </is>
      </c>
      <c r="C287" t="inlineStr">
        <is>
          <t xml:space="preserve">Свитер оверсайз с V-вырезом больших размеров</t>
        </is>
      </c>
      <c r="D287" t="inlineStr">
        <is>
          <t xml:space="preserve">JU62W02бежевый,черный</t>
        </is>
      </c>
      <c r="E287" t="inlineStr">
        <is>
          <t xml:space="preserve">бежевый, черный</t>
        </is>
      </c>
      <c r="F287" t="inlineStr">
        <is>
          <t xml:space="preserve">48</t>
        </is>
      </c>
      <c r="G287">
        <v>33</v>
      </c>
      <c r="H287" s="2">
        <v>31.0</v>
      </c>
      <c r="I287" t="inlineStr">
        <is>
          <t xml:space="preserve">вискоза 87%, ПЭ 11%, Эластан 2%</t>
        </is>
      </c>
      <c r="J287"/>
      <c r="K287" t="inlineStr">
        <is>
          <t xml:space="preserve">Бангладеш</t>
        </is>
      </c>
      <c r="L287" t="inlineStr">
        <is>
          <t xml:space="preserve">6110309900</t>
        </is>
      </c>
      <c r="M287" t="inlineStr">
        <is>
          <t xml:space="preserve">Декларация № ЕАЭС № BY/112 11.01. ТР017 122.01 08246, до 19.04.2028</t>
        </is>
      </c>
      <c r="N287" t="inlineStr">
        <is>
          <t xml:space="preserve">31 × 33 × 6</t>
        </is>
      </c>
      <c r="O287" t="inlineStr">
        <is>
          <t xml:space="preserve">0,48</t>
        </is>
      </c>
      <c r="P287" t="inlineStr">
        <is>
          <t xml:space="preserve">4816148171900</t>
        </is>
      </c>
      <c r="Q287" s="3" t="str">
        <f>HYPERLINK("https://modify.by/img/620159286/1.webp","фото")</f>
        <v>фото</v>
      </c>
      <c r="R287" s="3" t="str">
        <f>HYPERLINK("https://modify.by/catalog/svitery/620159286/?utm_source=price&amp;utm_medium=xlsx","открыть")</f>
        <v>открыть</v>
      </c>
    </row>
    <row r="288">
      <c r="A288" t="inlineStr">
        <is>
          <t xml:space="preserve">Женский</t>
        </is>
      </c>
      <c r="B288" t="inlineStr">
        <is>
          <t xml:space="preserve">Свитеры</t>
        </is>
      </c>
      <c r="C288" t="inlineStr">
        <is>
          <t xml:space="preserve">Свитер оверсайз с V-вырезом больших размеров</t>
        </is>
      </c>
      <c r="D288" t="inlineStr">
        <is>
          <t xml:space="preserve">JU62W02бежевый,черный</t>
        </is>
      </c>
      <c r="E288" t="inlineStr">
        <is>
          <t xml:space="preserve">бежевый, черный</t>
        </is>
      </c>
      <c r="F288" t="inlineStr">
        <is>
          <t xml:space="preserve">50</t>
        </is>
      </c>
      <c r="G288">
        <v>85</v>
      </c>
      <c r="H288" s="2">
        <v>31.0</v>
      </c>
      <c r="I288" t="inlineStr">
        <is>
          <t xml:space="preserve">вискоза 87%, ПЭ 11%, Эластан 2%</t>
        </is>
      </c>
      <c r="J288"/>
      <c r="K288" t="inlineStr">
        <is>
          <t xml:space="preserve">Бангладеш</t>
        </is>
      </c>
      <c r="L288" t="inlineStr">
        <is>
          <t xml:space="preserve">6110309900</t>
        </is>
      </c>
      <c r="M288" t="inlineStr">
        <is>
          <t xml:space="preserve">Декларация № ЕАЭС № BY/112 11.01. ТР017 122.01 08246, до 19.04.2028</t>
        </is>
      </c>
      <c r="N288" t="inlineStr">
        <is>
          <t xml:space="preserve">31 × 33 × 6</t>
        </is>
      </c>
      <c r="O288" t="inlineStr">
        <is>
          <t xml:space="preserve">0,48</t>
        </is>
      </c>
      <c r="P288" t="inlineStr">
        <is>
          <t xml:space="preserve">4816148171917</t>
        </is>
      </c>
      <c r="Q288" s="3" t="str">
        <f>HYPERLINK("https://modify.by/img/620159286/1.webp","фото")</f>
        <v>фото</v>
      </c>
      <c r="R288" s="3" t="str">
        <f>HYPERLINK("https://modify.by/catalog/svitery/620159286/?utm_source=price&amp;utm_medium=xlsx","открыть")</f>
        <v>открыть</v>
      </c>
    </row>
    <row r="289">
      <c r="A289" t="inlineStr">
        <is>
          <t xml:space="preserve">Женский</t>
        </is>
      </c>
      <c r="B289" t="inlineStr">
        <is>
          <t xml:space="preserve">Свитеры</t>
        </is>
      </c>
      <c r="C289" t="inlineStr">
        <is>
          <t xml:space="preserve">Свитер с глубоким V - вырезом больших размеров</t>
        </is>
      </c>
      <c r="D289" t="inlineStr">
        <is>
          <t xml:space="preserve">SW32W21горчичный</t>
        </is>
      </c>
      <c r="E289" t="inlineStr">
        <is>
          <t xml:space="preserve">горчичный</t>
        </is>
      </c>
      <c r="F289" t="inlineStr">
        <is>
          <t xml:space="preserve">56</t>
        </is>
      </c>
      <c r="G289">
        <v>2</v>
      </c>
      <c r="H289" s="2">
        <v>28.0</v>
      </c>
      <c r="I289" t="inlineStr">
        <is>
          <t xml:space="preserve">акрил 71% полиэстер 26% эластан 3%</t>
        </is>
      </c>
      <c r="J289"/>
      <c r="K289" t="inlineStr">
        <is>
          <t xml:space="preserve">Бангладеш</t>
        </is>
      </c>
      <c r="L289" t="inlineStr">
        <is>
          <t xml:space="preserve">6110309900</t>
        </is>
      </c>
      <c r="M289" t="inlineStr">
        <is>
          <t xml:space="preserve">по запросу</t>
        </is>
      </c>
      <c r="N289" t="inlineStr">
        <is>
          <t xml:space="preserve">35 × 27 × 3</t>
        </is>
      </c>
      <c r="O289" t="inlineStr">
        <is>
          <t xml:space="preserve">0,38</t>
        </is>
      </c>
      <c r="P289" t="inlineStr">
        <is>
          <t xml:space="preserve">2038096183732</t>
        </is>
      </c>
      <c r="Q289" s="3" t="str">
        <f>HYPERLINK("https://modify.by/img/193214996/1.webp","фото")</f>
        <v>фото</v>
      </c>
      <c r="R289" s="3" t="str">
        <f>HYPERLINK("https://modify.by/catalog/svitery/193214996/?utm_source=price&amp;utm_medium=xlsx","открыть")</f>
        <v>открыть</v>
      </c>
    </row>
    <row r="290">
      <c r="A290" t="inlineStr">
        <is>
          <t xml:space="preserve">Женский</t>
        </is>
      </c>
      <c r="B290" t="inlineStr">
        <is>
          <t xml:space="preserve">Свитеры</t>
        </is>
      </c>
      <c r="C290" t="inlineStr">
        <is>
          <t xml:space="preserve">Свитер с пайетками больших размеров</t>
        </is>
      </c>
      <c r="D290" t="inlineStr">
        <is>
          <t xml:space="preserve">SW32W20персиковый</t>
        </is>
      </c>
      <c r="E290" t="inlineStr">
        <is>
          <t xml:space="preserve">персиковый</t>
        </is>
      </c>
      <c r="F290" t="inlineStr">
        <is>
          <t xml:space="preserve">50</t>
        </is>
      </c>
      <c r="G290">
        <v>2</v>
      </c>
      <c r="H290" s="2">
        <v>31.0</v>
      </c>
      <c r="I290" t="inlineStr">
        <is>
          <t xml:space="preserve">акрил 38% нейлон 36% полиэстер 22% эластан 4%</t>
        </is>
      </c>
      <c r="J290"/>
      <c r="K290" t="inlineStr">
        <is>
          <t xml:space="preserve">Бангладеш</t>
        </is>
      </c>
      <c r="L290" t="inlineStr">
        <is>
          <t xml:space="preserve">6110309900</t>
        </is>
      </c>
      <c r="M290" t="inlineStr">
        <is>
          <t xml:space="preserve">Декларация № ЕАЭС № BY/112 11.01. ТР017 122.01 08246, до 19.04.2028</t>
        </is>
      </c>
      <c r="N290" t="inlineStr">
        <is>
          <t xml:space="preserve">36 × 28 × 3</t>
        </is>
      </c>
      <c r="O290" t="inlineStr">
        <is>
          <t xml:space="preserve">0,45</t>
        </is>
      </c>
      <c r="P290" t="inlineStr">
        <is>
          <t xml:space="preserve">2038096183596</t>
        </is>
      </c>
      <c r="Q290" s="3" t="str">
        <f>HYPERLINK("https://modify.by/img/193213865/1.webp","фото")</f>
        <v>фото</v>
      </c>
      <c r="R290" s="3" t="str">
        <f>HYPERLINK("https://modify.by/catalog/svitery/193213865/?utm_source=price&amp;utm_medium=xlsx","открыть")</f>
        <v>открыть</v>
      </c>
    </row>
    <row r="291">
      <c r="A291" t="inlineStr">
        <is>
          <t xml:space="preserve">Женский</t>
        </is>
      </c>
      <c r="B291" t="inlineStr">
        <is>
          <t xml:space="preserve">Свитеры</t>
        </is>
      </c>
      <c r="C291" t="inlineStr">
        <is>
          <t xml:space="preserve">Свитер теплый</t>
        </is>
      </c>
      <c r="D291" t="inlineStr">
        <is>
          <t xml:space="preserve">SW42W05бежевый</t>
        </is>
      </c>
      <c r="E291" t="inlineStr">
        <is>
          <t xml:space="preserve">бежевый</t>
        </is>
      </c>
      <c r="F291" t="inlineStr">
        <is>
          <t xml:space="preserve">48</t>
        </is>
      </c>
      <c r="G291">
        <v>1</v>
      </c>
      <c r="H291" s="2">
        <v>24.0</v>
      </c>
      <c r="I291" t="inlineStr">
        <is>
          <t xml:space="preserve">73% акрил 25% полиэстер 2% эластан</t>
        </is>
      </c>
      <c r="J291"/>
      <c r="K291" t="inlineStr">
        <is>
          <t xml:space="preserve">Бангладеш</t>
        </is>
      </c>
      <c r="L291" t="inlineStr">
        <is>
          <t xml:space="preserve">6110309900</t>
        </is>
      </c>
      <c r="M291" t="inlineStr">
        <is>
          <t xml:space="preserve">Декларация № ЕАЭС № BY/112 11.01. ТР017 122.01 08246, до 19.04.2028</t>
        </is>
      </c>
      <c r="N291" t="inlineStr">
        <is>
          <t xml:space="preserve">30 × 25 × 2</t>
        </is>
      </c>
      <c r="O291" t="inlineStr">
        <is>
          <t xml:space="preserve">0,37</t>
        </is>
      </c>
      <c r="P291" t="inlineStr">
        <is>
          <t xml:space="preserve">4816148149435</t>
        </is>
      </c>
      <c r="Q291" s="3" t="str">
        <f>HYPERLINK("https://modify.by/img/258246511/1.webp","фото")</f>
        <v>фото</v>
      </c>
      <c r="R291" s="3" t="str">
        <f>HYPERLINK("https://modify.by/catalog/svitery/258246511/?utm_source=price&amp;utm_medium=xlsx","открыть")</f>
        <v>открыть</v>
      </c>
    </row>
    <row r="292">
      <c r="A292" t="inlineStr">
        <is>
          <t xml:space="preserve">Женский</t>
        </is>
      </c>
      <c r="B292" t="inlineStr">
        <is>
          <t xml:space="preserve">Свитеры</t>
        </is>
      </c>
      <c r="C292" t="inlineStr">
        <is>
          <t xml:space="preserve">Свитер теплый с отложным воротником</t>
        </is>
      </c>
      <c r="D292" t="inlineStr">
        <is>
          <t xml:space="preserve">SW52W06коричневый</t>
        </is>
      </c>
      <c r="E292" t="inlineStr">
        <is>
          <t xml:space="preserve">кофе с молоком, светло-коричневый</t>
        </is>
      </c>
      <c r="F292" t="inlineStr">
        <is>
          <t xml:space="preserve">42</t>
        </is>
      </c>
      <c r="G292">
        <v>7</v>
      </c>
      <c r="H292" s="2">
        <v>39.0</v>
      </c>
      <c r="I292" t="inlineStr">
        <is>
          <t xml:space="preserve">50% акрил, 50% хлопок</t>
        </is>
      </c>
      <c r="J292"/>
      <c r="K292" t="inlineStr">
        <is>
          <t xml:space="preserve">Бангладеш</t>
        </is>
      </c>
      <c r="L292" t="inlineStr">
        <is>
          <t xml:space="preserve">6110309900</t>
        </is>
      </c>
      <c r="M292" t="inlineStr">
        <is>
          <t xml:space="preserve">Декларация № ЕАЭС № BY/112 11.01. ТР017 122.01 08246, до 19.04.2028</t>
        </is>
      </c>
      <c r="N292" t="inlineStr">
        <is>
          <t xml:space="preserve">33 × 27 × 3</t>
        </is>
      </c>
      <c r="O292" t="inlineStr">
        <is>
          <t xml:space="preserve">0,54</t>
        </is>
      </c>
      <c r="P292" t="inlineStr">
        <is>
          <t xml:space="preserve">4816148169778</t>
        </is>
      </c>
      <c r="Q292" s="3" t="str">
        <f>HYPERLINK("https://modify.by/img/532102649/1.webp","фото")</f>
        <v>фото</v>
      </c>
      <c r="R292" s="3" t="str">
        <f>HYPERLINK("https://modify.by/catalog/svitery/532102649/?utm_source=price&amp;utm_medium=xlsx","открыть")</f>
        <v>открыть</v>
      </c>
    </row>
    <row r="293">
      <c r="A293" t="inlineStr">
        <is>
          <t xml:space="preserve">Женский</t>
        </is>
      </c>
      <c r="B293" t="inlineStr">
        <is>
          <t xml:space="preserve">Свитеры</t>
        </is>
      </c>
      <c r="C293" t="inlineStr">
        <is>
          <t xml:space="preserve">Свитер теплый с отложным воротником</t>
        </is>
      </c>
      <c r="D293" t="inlineStr">
        <is>
          <t xml:space="preserve">SW52W06коричневый</t>
        </is>
      </c>
      <c r="E293" t="inlineStr">
        <is>
          <t xml:space="preserve">кофе с молоком, светло-коричневый</t>
        </is>
      </c>
      <c r="F293" t="inlineStr">
        <is>
          <t xml:space="preserve">44</t>
        </is>
      </c>
      <c r="G293">
        <v>19</v>
      </c>
      <c r="H293" s="2">
        <v>39.0</v>
      </c>
      <c r="I293" t="inlineStr">
        <is>
          <t xml:space="preserve">50% акрил, 50% хлопок</t>
        </is>
      </c>
      <c r="J293"/>
      <c r="K293" t="inlineStr">
        <is>
          <t xml:space="preserve">Бангладеш</t>
        </is>
      </c>
      <c r="L293" t="inlineStr">
        <is>
          <t xml:space="preserve">6110309900</t>
        </is>
      </c>
      <c r="M293" t="inlineStr">
        <is>
          <t xml:space="preserve">Декларация № ЕАЭС № BY/112 11.01. ТР017 122.01 08246, до 19.04.2028</t>
        </is>
      </c>
      <c r="N293" t="inlineStr">
        <is>
          <t xml:space="preserve">33 × 27 × 3</t>
        </is>
      </c>
      <c r="O293" t="inlineStr">
        <is>
          <t xml:space="preserve">0,54</t>
        </is>
      </c>
      <c r="P293" t="inlineStr">
        <is>
          <t xml:space="preserve">4816148169785</t>
        </is>
      </c>
      <c r="Q293" s="3" t="str">
        <f>HYPERLINK("https://modify.by/img/532102649/1.webp","фото")</f>
        <v>фото</v>
      </c>
      <c r="R293" s="3" t="str">
        <f>HYPERLINK("https://modify.by/catalog/svitery/532102649/?utm_source=price&amp;utm_medium=xlsx","открыть")</f>
        <v>открыть</v>
      </c>
    </row>
    <row r="294">
      <c r="A294" t="inlineStr">
        <is>
          <t xml:space="preserve">Женский</t>
        </is>
      </c>
      <c r="B294" t="inlineStr">
        <is>
          <t xml:space="preserve">Свитеры</t>
        </is>
      </c>
      <c r="C294" t="inlineStr">
        <is>
          <t xml:space="preserve">Свитер теплый с отложным воротником</t>
        </is>
      </c>
      <c r="D294" t="inlineStr">
        <is>
          <t xml:space="preserve">SW52W06коричневый</t>
        </is>
      </c>
      <c r="E294" t="inlineStr">
        <is>
          <t xml:space="preserve">кофе с молоком, светло-коричневый</t>
        </is>
      </c>
      <c r="F294" t="inlineStr">
        <is>
          <t xml:space="preserve">46</t>
        </is>
      </c>
      <c r="G294">
        <v>58</v>
      </c>
      <c r="H294" s="2">
        <v>39.0</v>
      </c>
      <c r="I294" t="inlineStr">
        <is>
          <t xml:space="preserve">50% акрил, 50% хлопок</t>
        </is>
      </c>
      <c r="J294"/>
      <c r="K294" t="inlineStr">
        <is>
          <t xml:space="preserve">Бангладеш</t>
        </is>
      </c>
      <c r="L294" t="inlineStr">
        <is>
          <t xml:space="preserve">6110309900</t>
        </is>
      </c>
      <c r="M294" t="inlineStr">
        <is>
          <t xml:space="preserve">Декларация № ЕАЭС № BY/112 11.01. ТР017 122.01 08246, до 19.04.2028</t>
        </is>
      </c>
      <c r="N294" t="inlineStr">
        <is>
          <t xml:space="preserve">33 × 27 × 3</t>
        </is>
      </c>
      <c r="O294" t="inlineStr">
        <is>
          <t xml:space="preserve">0,54</t>
        </is>
      </c>
      <c r="P294" t="inlineStr">
        <is>
          <t xml:space="preserve">4816148169792</t>
        </is>
      </c>
      <c r="Q294" s="3" t="str">
        <f>HYPERLINK("https://modify.by/img/532102649/1.webp","фото")</f>
        <v>фото</v>
      </c>
      <c r="R294" s="3" t="str">
        <f>HYPERLINK("https://modify.by/catalog/svitery/532102649/?utm_source=price&amp;utm_medium=xlsx","открыть")</f>
        <v>открыть</v>
      </c>
    </row>
    <row r="295">
      <c r="A295" t="inlineStr">
        <is>
          <t xml:space="preserve">Женский</t>
        </is>
      </c>
      <c r="B295" t="inlineStr">
        <is>
          <t xml:space="preserve">Свитеры</t>
        </is>
      </c>
      <c r="C295" t="inlineStr">
        <is>
          <t xml:space="preserve">Свитер теплый с отложным воротником</t>
        </is>
      </c>
      <c r="D295" t="inlineStr">
        <is>
          <t xml:space="preserve">SW52W06коричневый</t>
        </is>
      </c>
      <c r="E295" t="inlineStr">
        <is>
          <t xml:space="preserve">кофе с молоком, светло-коричневый</t>
        </is>
      </c>
      <c r="F295" t="inlineStr">
        <is>
          <t xml:space="preserve">48</t>
        </is>
      </c>
      <c r="G295">
        <v>20</v>
      </c>
      <c r="H295" s="2">
        <v>39.0</v>
      </c>
      <c r="I295" t="inlineStr">
        <is>
          <t xml:space="preserve">50% акрил, 50% хлопок</t>
        </is>
      </c>
      <c r="J295"/>
      <c r="K295" t="inlineStr">
        <is>
          <t xml:space="preserve">Бангладеш</t>
        </is>
      </c>
      <c r="L295" t="inlineStr">
        <is>
          <t xml:space="preserve">6110309900</t>
        </is>
      </c>
      <c r="M295" t="inlineStr">
        <is>
          <t xml:space="preserve">Декларация № ЕАЭС № BY/112 11.01. ТР017 122.01 08246, до 19.04.2028</t>
        </is>
      </c>
      <c r="N295" t="inlineStr">
        <is>
          <t xml:space="preserve">33 × 27 × 3</t>
        </is>
      </c>
      <c r="O295" t="inlineStr">
        <is>
          <t xml:space="preserve">0,54</t>
        </is>
      </c>
      <c r="P295" t="inlineStr">
        <is>
          <t xml:space="preserve">4816148169808</t>
        </is>
      </c>
      <c r="Q295" s="3" t="str">
        <f>HYPERLINK("https://modify.by/img/532102649/1.webp","фото")</f>
        <v>фото</v>
      </c>
      <c r="R295" s="3" t="str">
        <f>HYPERLINK("https://modify.by/catalog/svitery/532102649/?utm_source=price&amp;utm_medium=xlsx","открыть")</f>
        <v>открыть</v>
      </c>
    </row>
    <row r="296">
      <c r="A296" t="inlineStr">
        <is>
          <t xml:space="preserve">Женский</t>
        </is>
      </c>
      <c r="B296" t="inlineStr">
        <is>
          <t xml:space="preserve">Свитеры</t>
        </is>
      </c>
      <c r="C296" t="inlineStr">
        <is>
          <t xml:space="preserve">Свитер теплый укороченный</t>
        </is>
      </c>
      <c r="D296" t="inlineStr">
        <is>
          <t xml:space="preserve">SW52W05сиреневый</t>
        </is>
      </c>
      <c r="E296" t="inlineStr">
        <is>
          <t xml:space="preserve">светло-сиреневый, светло-серый</t>
        </is>
      </c>
      <c r="F296" t="inlineStr">
        <is>
          <t xml:space="preserve">44</t>
        </is>
      </c>
      <c r="G296">
        <v>53</v>
      </c>
      <c r="H296" s="2">
        <v>27.0</v>
      </c>
      <c r="I296"/>
      <c r="J296"/>
      <c r="K296" t="inlineStr">
        <is>
          <t xml:space="preserve">Бангладеш</t>
        </is>
      </c>
      <c r="L296" t="inlineStr">
        <is>
          <t xml:space="preserve">6110309900</t>
        </is>
      </c>
      <c r="M296" t="inlineStr">
        <is>
          <t xml:space="preserve">Декларация № ЕАЭС № BY/112 11.01. ТР017 122.01 08246, до 19.04.2028</t>
        </is>
      </c>
      <c r="N296" t="inlineStr">
        <is>
          <t xml:space="preserve">35 × 26 × 3</t>
        </is>
      </c>
      <c r="O296" t="inlineStr">
        <is>
          <t xml:space="preserve">0,22</t>
        </is>
      </c>
      <c r="P296" t="inlineStr">
        <is>
          <t xml:space="preserve">4816148164506</t>
        </is>
      </c>
      <c r="Q296" s="3" t="str">
        <f>HYPERLINK("https://modify.by/img/553217740/1.webp","фото")</f>
        <v>фото</v>
      </c>
      <c r="R296" s="3" t="str">
        <f>HYPERLINK("https://modify.by/catalog/svitery/553217740/?utm_source=price&amp;utm_medium=xlsx","открыть")</f>
        <v>открыть</v>
      </c>
    </row>
    <row r="297">
      <c r="A297" t="inlineStr">
        <is>
          <t xml:space="preserve">Женский</t>
        </is>
      </c>
      <c r="B297" t="inlineStr">
        <is>
          <t xml:space="preserve">Свитеры</t>
        </is>
      </c>
      <c r="C297" t="inlineStr">
        <is>
          <t xml:space="preserve">Свитер теплый укороченный</t>
        </is>
      </c>
      <c r="D297" t="inlineStr">
        <is>
          <t xml:space="preserve">SW52W05сиреневый</t>
        </is>
      </c>
      <c r="E297" t="inlineStr">
        <is>
          <t xml:space="preserve">светло-сиреневый, светло-серый</t>
        </is>
      </c>
      <c r="F297" t="inlineStr">
        <is>
          <t xml:space="preserve">46</t>
        </is>
      </c>
      <c r="G297">
        <v>43</v>
      </c>
      <c r="H297" s="2">
        <v>27.0</v>
      </c>
      <c r="I297"/>
      <c r="J297"/>
      <c r="K297" t="inlineStr">
        <is>
          <t xml:space="preserve">Бангладеш</t>
        </is>
      </c>
      <c r="L297" t="inlineStr">
        <is>
          <t xml:space="preserve">6110309900</t>
        </is>
      </c>
      <c r="M297" t="inlineStr">
        <is>
          <t xml:space="preserve">Декларация № ЕАЭС № BY/112 11.01. ТР017 122.01 08246, до 19.04.2028</t>
        </is>
      </c>
      <c r="N297" t="inlineStr">
        <is>
          <t xml:space="preserve">35 × 26 × 3</t>
        </is>
      </c>
      <c r="O297" t="inlineStr">
        <is>
          <t xml:space="preserve">0,22</t>
        </is>
      </c>
      <c r="P297" t="inlineStr">
        <is>
          <t xml:space="preserve">4816148164513</t>
        </is>
      </c>
      <c r="Q297" s="3" t="str">
        <f>HYPERLINK("https://modify.by/img/553217740/1.webp","фото")</f>
        <v>фото</v>
      </c>
      <c r="R297" s="3" t="str">
        <f>HYPERLINK("https://modify.by/catalog/svitery/553217740/?utm_source=price&amp;utm_medium=xlsx","открыть")</f>
        <v>открыть</v>
      </c>
    </row>
    <row r="298">
      <c r="A298" t="inlineStr">
        <is>
          <t xml:space="preserve">Женский</t>
        </is>
      </c>
      <c r="B298" t="inlineStr">
        <is>
          <t xml:space="preserve">Свитеры</t>
        </is>
      </c>
      <c r="C298" t="inlineStr">
        <is>
          <t xml:space="preserve">Свитер теплый укороченный</t>
        </is>
      </c>
      <c r="D298" t="inlineStr">
        <is>
          <t xml:space="preserve">SW52W05сиреневый</t>
        </is>
      </c>
      <c r="E298" t="inlineStr">
        <is>
          <t xml:space="preserve">светло-сиреневый, светло-серый</t>
        </is>
      </c>
      <c r="F298" t="inlineStr">
        <is>
          <t xml:space="preserve">48</t>
        </is>
      </c>
      <c r="G298">
        <v>35</v>
      </c>
      <c r="H298" s="2">
        <v>27.0</v>
      </c>
      <c r="I298"/>
      <c r="J298"/>
      <c r="K298" t="inlineStr">
        <is>
          <t xml:space="preserve">Бангладеш</t>
        </is>
      </c>
      <c r="L298" t="inlineStr">
        <is>
          <t xml:space="preserve">6110309900</t>
        </is>
      </c>
      <c r="M298" t="inlineStr">
        <is>
          <t xml:space="preserve">Декларация № ЕАЭС № BY/112 11.01. ТР017 122.01 08246, до 19.04.2028</t>
        </is>
      </c>
      <c r="N298" t="inlineStr">
        <is>
          <t xml:space="preserve">35 × 26 × 3</t>
        </is>
      </c>
      <c r="O298" t="inlineStr">
        <is>
          <t xml:space="preserve">0,22</t>
        </is>
      </c>
      <c r="P298" t="inlineStr">
        <is>
          <t xml:space="preserve">4816148164520</t>
        </is>
      </c>
      <c r="Q298" s="3" t="str">
        <f>HYPERLINK("https://modify.by/img/553217740/1.webp","фото")</f>
        <v>фото</v>
      </c>
      <c r="R298" s="3" t="str">
        <f>HYPERLINK("https://modify.by/catalog/svitery/553217740/?utm_source=price&amp;utm_medium=xlsx","открыть")</f>
        <v>открыть</v>
      </c>
    </row>
    <row r="299">
      <c r="A299" t="inlineStr">
        <is>
          <t xml:space="preserve">Женский</t>
        </is>
      </c>
      <c r="B299" t="inlineStr">
        <is>
          <t xml:space="preserve">Свитеры</t>
        </is>
      </c>
      <c r="C299" t="inlineStr">
        <is>
          <t xml:space="preserve">Свитер теплый укороченный</t>
        </is>
      </c>
      <c r="D299" t="inlineStr">
        <is>
          <t xml:space="preserve">SW52W05сиреневый</t>
        </is>
      </c>
      <c r="E299" t="inlineStr">
        <is>
          <t xml:space="preserve">светло-сиреневый, светло-серый</t>
        </is>
      </c>
      <c r="F299" t="inlineStr">
        <is>
          <t xml:space="preserve">50</t>
        </is>
      </c>
      <c r="G299">
        <v>38</v>
      </c>
      <c r="H299" s="2">
        <v>27.0</v>
      </c>
      <c r="I299"/>
      <c r="J299"/>
      <c r="K299" t="inlineStr">
        <is>
          <t xml:space="preserve">Бангладеш</t>
        </is>
      </c>
      <c r="L299" t="inlineStr">
        <is>
          <t xml:space="preserve">6110309900</t>
        </is>
      </c>
      <c r="M299" t="inlineStr">
        <is>
          <t xml:space="preserve">Декларация № ЕАЭС № BY/112 11.01. ТР017 122.01 08246, до 19.04.2028</t>
        </is>
      </c>
      <c r="N299" t="inlineStr">
        <is>
          <t xml:space="preserve">35 × 26 × 3</t>
        </is>
      </c>
      <c r="O299" t="inlineStr">
        <is>
          <t xml:space="preserve">0,22</t>
        </is>
      </c>
      <c r="P299" t="inlineStr">
        <is>
          <t xml:space="preserve">4816148164537</t>
        </is>
      </c>
      <c r="Q299" s="3" t="str">
        <f>HYPERLINK("https://modify.by/img/553217740/1.webp","фото")</f>
        <v>фото</v>
      </c>
      <c r="R299" s="3" t="str">
        <f>HYPERLINK("https://modify.by/catalog/svitery/553217740/?utm_source=price&amp;utm_medium=xlsx","открыть")</f>
        <v>открыть</v>
      </c>
    </row>
    <row r="300">
      <c r="A300" t="inlineStr">
        <is>
          <t xml:space="preserve">Женский</t>
        </is>
      </c>
      <c r="B300" t="inlineStr">
        <is>
          <t xml:space="preserve">Свитеры</t>
        </is>
      </c>
      <c r="C300" t="inlineStr">
        <is>
          <t xml:space="preserve">Хлопковый свитер оверсайз полосатый</t>
        </is>
      </c>
      <c r="D300" t="inlineStr">
        <is>
          <t xml:space="preserve">SW32W01Серый</t>
        </is>
      </c>
      <c r="E300" t="inlineStr">
        <is>
          <t xml:space="preserve">серый</t>
        </is>
      </c>
      <c r="F300" t="inlineStr">
        <is>
          <t xml:space="preserve">56/170</t>
        </is>
      </c>
      <c r="G300">
        <v>1</v>
      </c>
      <c r="H300" s="2">
        <v>30.0</v>
      </c>
      <c r="I300" t="inlineStr">
        <is>
          <t xml:space="preserve">хлопок 60% акрил 40%</t>
        </is>
      </c>
      <c r="J300"/>
      <c r="K300" t="inlineStr">
        <is>
          <t xml:space="preserve">Бангладеш</t>
        </is>
      </c>
      <c r="L300" t="inlineStr">
        <is>
          <t xml:space="preserve">6110209900</t>
        </is>
      </c>
      <c r="M300" t="inlineStr">
        <is>
          <t xml:space="preserve">Декларация № ЕАЭС № BY/112 11.01. ТР017 122.01 08246, до 19.04.2028</t>
        </is>
      </c>
      <c r="N300" t="inlineStr">
        <is>
          <t xml:space="preserve">36 × 30 × 4</t>
        </is>
      </c>
      <c r="O300" t="inlineStr">
        <is>
          <t xml:space="preserve">0,65</t>
        </is>
      </c>
      <c r="P300" t="inlineStr">
        <is>
          <t xml:space="preserve">2026620780113</t>
        </is>
      </c>
      <c r="Q300" s="3" t="str">
        <f>HYPERLINK("https://modify.by/img/150464059/1.webp","фото")</f>
        <v>фото</v>
      </c>
      <c r="R300" s="3" t="str">
        <f>HYPERLINK("https://modify.by/catalog/svitery/150464059/?utm_source=price&amp;utm_medium=xlsx","открыть")</f>
        <v>открыть</v>
      </c>
    </row>
    <row r="301">
      <c r="A301" t="inlineStr">
        <is>
          <t xml:space="preserve">Женский</t>
        </is>
      </c>
      <c r="B301" t="inlineStr">
        <is>
          <t xml:space="preserve">Свитеры</t>
        </is>
      </c>
      <c r="C301" t="inlineStr">
        <is>
          <t xml:space="preserve">Хлопковый свитер оверсайз полосатый</t>
        </is>
      </c>
      <c r="D301" t="inlineStr">
        <is>
          <t xml:space="preserve">SW32W01Серый</t>
        </is>
      </c>
      <c r="E301" t="inlineStr">
        <is>
          <t xml:space="preserve">серый</t>
        </is>
      </c>
      <c r="F301" t="inlineStr">
        <is>
          <t xml:space="preserve">56/170</t>
        </is>
      </c>
      <c r="G301">
        <v>1</v>
      </c>
      <c r="H301" s="2">
        <v>30.0</v>
      </c>
      <c r="I301" t="inlineStr">
        <is>
          <t xml:space="preserve">хлопок 60% акрил 40%</t>
        </is>
      </c>
      <c r="J301"/>
      <c r="K301" t="inlineStr">
        <is>
          <t xml:space="preserve">Бангладеш</t>
        </is>
      </c>
      <c r="L301" t="inlineStr">
        <is>
          <t xml:space="preserve">6110209900</t>
        </is>
      </c>
      <c r="M301" t="inlineStr">
        <is>
          <t xml:space="preserve">Декларация № ЕАЭС № BY/112 11.01. ТР017 122.01 08246, до 19.04.2028</t>
        </is>
      </c>
      <c r="N301" t="inlineStr">
        <is>
          <t xml:space="preserve">36 × 30 × 4</t>
        </is>
      </c>
      <c r="O301" t="inlineStr">
        <is>
          <t xml:space="preserve">0,65</t>
        </is>
      </c>
      <c r="P301" t="inlineStr">
        <is>
          <t xml:space="preserve">4816148176493</t>
        </is>
      </c>
      <c r="Q301" s="3" t="str">
        <f>HYPERLINK("https://modify.by/img/150464059/1.webp","фото")</f>
        <v>фото</v>
      </c>
      <c r="R301" s="3" t="str">
        <f>HYPERLINK("https://modify.by/catalog/svitery/150464059/?utm_source=price&amp;utm_medium=xlsx","открыть")</f>
        <v>открыть</v>
      </c>
    </row>
    <row r="302">
      <c r="A302" t="inlineStr">
        <is>
          <t xml:space="preserve">Женский</t>
        </is>
      </c>
      <c r="B302" t="inlineStr">
        <is>
          <t xml:space="preserve">Свитеры</t>
        </is>
      </c>
      <c r="C302" t="inlineStr">
        <is>
          <t xml:space="preserve">мягкий пушистый свитер оверсайз</t>
        </is>
      </c>
      <c r="D302" t="inlineStr">
        <is>
          <t xml:space="preserve">SW32W03Молочный</t>
        </is>
      </c>
      <c r="E302" t="inlineStr">
        <is>
          <t xml:space="preserve">молочный</t>
        </is>
      </c>
      <c r="F302" t="inlineStr">
        <is>
          <t xml:space="preserve">50-170</t>
        </is>
      </c>
      <c r="G302">
        <v>3</v>
      </c>
      <c r="H302" s="2">
        <v>29.0</v>
      </c>
      <c r="I302" t="inlineStr">
        <is>
          <t xml:space="preserve">акрил 100%</t>
        </is>
      </c>
      <c r="J302"/>
      <c r="K302" t="inlineStr">
        <is>
          <t xml:space="preserve">Бангладеш</t>
        </is>
      </c>
      <c r="L302" t="inlineStr">
        <is>
          <t xml:space="preserve">6110309900</t>
        </is>
      </c>
      <c r="M302" t="inlineStr">
        <is>
          <t xml:space="preserve">Декларация № ЕАЭС № BY/112 11.01. ТР017 122.01 08246, до 19.04.2028</t>
        </is>
      </c>
      <c r="N302" t="inlineStr">
        <is>
          <t xml:space="preserve">39 × 30 × 5</t>
        </is>
      </c>
      <c r="O302" t="inlineStr">
        <is>
          <t xml:space="preserve">0,42</t>
        </is>
      </c>
      <c r="P302" t="inlineStr">
        <is>
          <t xml:space="preserve">2026620772163</t>
        </is>
      </c>
      <c r="Q302" s="3" t="str">
        <f>HYPERLINK("https://modify.by/img/152408931/1.webp","фото")</f>
        <v>фото</v>
      </c>
      <c r="R302" s="3" t="str">
        <f>HYPERLINK("https://modify.by/catalog/svitery/152408931/?utm_source=price&amp;utm_medium=xlsx","открыть")</f>
        <v>открыть</v>
      </c>
    </row>
    <row r="303">
      <c r="A303" t="inlineStr">
        <is>
          <t xml:space="preserve">Женский</t>
        </is>
      </c>
      <c r="B303" t="inlineStr">
        <is>
          <t xml:space="preserve">Свитеры</t>
        </is>
      </c>
      <c r="C303" t="inlineStr">
        <is>
          <t xml:space="preserve">мягкий пушистый свитер оверсайз</t>
        </is>
      </c>
      <c r="D303" t="inlineStr">
        <is>
          <t xml:space="preserve">SW32W03Молочный</t>
        </is>
      </c>
      <c r="E303" t="inlineStr">
        <is>
          <t xml:space="preserve">молочный</t>
        </is>
      </c>
      <c r="F303" t="inlineStr">
        <is>
          <t xml:space="preserve">50-170</t>
        </is>
      </c>
      <c r="G303">
        <v>3</v>
      </c>
      <c r="H303" s="2">
        <v>29.0</v>
      </c>
      <c r="I303" t="inlineStr">
        <is>
          <t xml:space="preserve">акрил 100%</t>
        </is>
      </c>
      <c r="J303"/>
      <c r="K303" t="inlineStr">
        <is>
          <t xml:space="preserve">Бангладеш</t>
        </is>
      </c>
      <c r="L303" t="inlineStr">
        <is>
          <t xml:space="preserve">6110309900</t>
        </is>
      </c>
      <c r="M303" t="inlineStr">
        <is>
          <t xml:space="preserve">Декларация № ЕАЭС № BY/112 11.01. ТР017 122.01 08246, до 19.04.2028</t>
        </is>
      </c>
      <c r="N303" t="inlineStr">
        <is>
          <t xml:space="preserve">39 × 30 × 5</t>
        </is>
      </c>
      <c r="O303" t="inlineStr">
        <is>
          <t xml:space="preserve">0,42</t>
        </is>
      </c>
      <c r="P303" t="inlineStr">
        <is>
          <t xml:space="preserve">4816148145000</t>
        </is>
      </c>
      <c r="Q303" s="3" t="str">
        <f>HYPERLINK("https://modify.by/img/152408931/1.webp","фото")</f>
        <v>фото</v>
      </c>
      <c r="R303" s="3" t="str">
        <f>HYPERLINK("https://modify.by/catalog/svitery/152408931/?utm_source=price&amp;utm_medium=xlsx","открыть")</f>
        <v>открыть</v>
      </c>
    </row>
    <row r="304">
      <c r="A304" t="inlineStr">
        <is>
          <t xml:space="preserve">Мужской</t>
        </is>
      </c>
      <c r="B304" t="inlineStr">
        <is>
          <t xml:space="preserve">Брюки</t>
        </is>
      </c>
      <c r="C304" t="inlineStr">
        <is>
          <t xml:space="preserve">STUBBORN Брюки чинос</t>
        </is>
      </c>
      <c r="D304" t="inlineStr">
        <is>
          <t xml:space="preserve">CH02M5Песочный</t>
        </is>
      </c>
      <c r="E304" t="inlineStr">
        <is>
          <t xml:space="preserve">песочный</t>
        </is>
      </c>
      <c r="F304" t="inlineStr">
        <is>
          <t xml:space="preserve">42</t>
        </is>
      </c>
      <c r="G304">
        <v>1</v>
      </c>
      <c r="H304" s="2">
        <v>39.0</v>
      </c>
      <c r="I304" t="inlineStr">
        <is>
          <t xml:space="preserve">хлопок, эластан</t>
        </is>
      </c>
      <c r="J304" t="inlineStr">
        <is>
          <t xml:space="preserve">лето</t>
        </is>
      </c>
      <c r="K304" t="inlineStr">
        <is>
          <t xml:space="preserve">Бангладеш</t>
        </is>
      </c>
      <c r="L304" t="inlineStr">
        <is>
          <t xml:space="preserve">6203411000</t>
        </is>
      </c>
      <c r="M304" t="inlineStr">
        <is>
          <t xml:space="preserve">по запросу</t>
        </is>
      </c>
      <c r="N304"/>
      <c r="O304"/>
      <c r="P304" t="inlineStr">
        <is>
          <t xml:space="preserve">8595633683444</t>
        </is>
      </c>
      <c r="Q304" s="3" t="str">
        <f>HYPERLINK("https://modify.by/img/21406632/1.webp","фото")</f>
        <v>фото</v>
      </c>
      <c r="R304" s="3" t="str">
        <f>HYPERLINK("https://modify.by/catalog/bryuki/21406632/?utm_source=price&amp;utm_medium=xlsx","открыть")</f>
        <v>открыть</v>
      </c>
    </row>
    <row r="305">
      <c r="A305" t="inlineStr">
        <is>
          <t xml:space="preserve">Мужской</t>
        </is>
      </c>
      <c r="B305" t="inlineStr">
        <is>
          <t xml:space="preserve">Брюки</t>
        </is>
      </c>
      <c r="C305" t="inlineStr">
        <is>
          <t xml:space="preserve">Брюки белые джинсы</t>
        </is>
      </c>
      <c r="D305" t="inlineStr">
        <is>
          <t xml:space="preserve">T3JE52M02белый</t>
        </is>
      </c>
      <c r="E305" t="inlineStr">
        <is>
          <t xml:space="preserve">белый</t>
        </is>
      </c>
      <c r="F305" t="inlineStr">
        <is>
          <t xml:space="preserve">48</t>
        </is>
      </c>
      <c r="G305">
        <v>1</v>
      </c>
      <c r="H305" s="2">
        <v>44.0</v>
      </c>
      <c r="I305" t="inlineStr">
        <is>
          <t xml:space="preserve">70% полиэстер, 30% хлопок</t>
        </is>
      </c>
      <c r="J305" t="inlineStr">
        <is>
          <t xml:space="preserve">демисезон</t>
        </is>
      </c>
      <c r="K305" t="inlineStr">
        <is>
          <t xml:space="preserve">Китай</t>
        </is>
      </c>
      <c r="L305" t="inlineStr">
        <is>
          <t xml:space="preserve">6203431900</t>
        </is>
      </c>
      <c r="M305" t="inlineStr">
        <is>
          <t xml:space="preserve">Декларация № ЕАЭС N RU Д-CN.РА02.В.44039/24, до 28.02.2029</t>
        </is>
      </c>
      <c r="N305" t="inlineStr">
        <is>
          <t xml:space="preserve">35 × 28 × 3</t>
        </is>
      </c>
      <c r="O305" t="inlineStr">
        <is>
          <t xml:space="preserve">0,5</t>
        </is>
      </c>
      <c r="P305" t="inlineStr">
        <is>
          <t xml:space="preserve">4816148167811</t>
        </is>
      </c>
      <c r="Q305" s="3" t="str">
        <f>HYPERLINK("https://modify.by/img/441152113/1.webp","фото")</f>
        <v>фото</v>
      </c>
      <c r="R305" s="3" t="str">
        <f>HYPERLINK("https://modify.by/catalog/bryuki/441152113/?utm_source=price&amp;utm_medium=xlsx","открыть")</f>
        <v>открыть</v>
      </c>
    </row>
    <row r="306">
      <c r="A306" t="inlineStr">
        <is>
          <t xml:space="preserve">Мужской</t>
        </is>
      </c>
      <c r="B306" t="inlineStr">
        <is>
          <t xml:space="preserve">Брюки</t>
        </is>
      </c>
      <c r="C306" t="inlineStr">
        <is>
          <t xml:space="preserve">Брюки карго джоггеры</t>
        </is>
      </c>
      <c r="D306" t="inlineStr">
        <is>
          <t xml:space="preserve">T3PA42W01черный</t>
        </is>
      </c>
      <c r="E306" t="inlineStr">
        <is>
          <t xml:space="preserve">черный</t>
        </is>
      </c>
      <c r="F306" t="inlineStr">
        <is>
          <t xml:space="preserve">42</t>
        </is>
      </c>
      <c r="G306">
        <v>3</v>
      </c>
      <c r="H306" s="2">
        <v>44.0</v>
      </c>
      <c r="I306" t="inlineStr">
        <is>
          <t xml:space="preserve">полиэстер</t>
        </is>
      </c>
      <c r="J306" t="inlineStr">
        <is>
          <t xml:space="preserve">Демисезон</t>
        </is>
      </c>
      <c r="K306" t="inlineStr">
        <is>
          <t xml:space="preserve">Китай</t>
        </is>
      </c>
      <c r="L306" t="inlineStr">
        <is>
          <t xml:space="preserve">6104690001</t>
        </is>
      </c>
      <c r="M306" t="inlineStr">
        <is>
          <t xml:space="preserve">Декларация № ЕАЭС N RU Д-CN.РА02.В.44039/24, до 28.02.2029</t>
        </is>
      </c>
      <c r="N306" t="inlineStr">
        <is>
          <t xml:space="preserve">38 × 30 × 4</t>
        </is>
      </c>
      <c r="O306" t="inlineStr">
        <is>
          <t xml:space="preserve">0,45</t>
        </is>
      </c>
      <c r="P306" t="inlineStr">
        <is>
          <t xml:space="preserve">4816148107534</t>
        </is>
      </c>
      <c r="Q306" s="3" t="str">
        <f>HYPERLINK("https://modify.by/img/243416899/1.webp","фото")</f>
        <v>фото</v>
      </c>
      <c r="R306" s="3" t="str">
        <f>HYPERLINK("https://modify.by/catalog/bryuki/243416899/?utm_source=price&amp;utm_medium=xlsx","открыть")</f>
        <v>открыть</v>
      </c>
    </row>
    <row r="307">
      <c r="A307" t="inlineStr">
        <is>
          <t xml:space="preserve">Мужской</t>
        </is>
      </c>
      <c r="B307" t="inlineStr">
        <is>
          <t xml:space="preserve">Брюки</t>
        </is>
      </c>
      <c r="C307" t="inlineStr">
        <is>
          <t xml:space="preserve">Брюки класические офис шерсть</t>
        </is>
      </c>
      <c r="D307" t="inlineStr">
        <is>
          <t xml:space="preserve">PA32M07серый меланж</t>
        </is>
      </c>
      <c r="E307" t="inlineStr">
        <is>
          <t xml:space="preserve">серый меланж</t>
        </is>
      </c>
      <c r="F307" t="inlineStr">
        <is>
          <t xml:space="preserve">56/182</t>
        </is>
      </c>
      <c r="G307">
        <v>1</v>
      </c>
      <c r="H307" s="2">
        <v>59.0</v>
      </c>
      <c r="I307" t="inlineStr">
        <is>
          <t xml:space="preserve">50% шерсть, 50% полиэстер</t>
        </is>
      </c>
      <c r="J307"/>
      <c r="K307"/>
      <c r="L307" t="inlineStr">
        <is>
          <t xml:space="preserve">6203411000</t>
        </is>
      </c>
      <c r="M307" t="inlineStr">
        <is>
          <t xml:space="preserve">по запросу</t>
        </is>
      </c>
      <c r="N307"/>
      <c r="O307"/>
      <c r="P307" t="inlineStr">
        <is>
          <t xml:space="preserve">2038096184913</t>
        </is>
      </c>
      <c r="Q307"/>
      <c r="R307" s="3" t="str">
        <f>HYPERLINK("https://modify.by/catalog/bryuki/200358028/?utm_source=price&amp;utm_medium=xlsx","открыть")</f>
        <v>открыть</v>
      </c>
    </row>
    <row r="308">
      <c r="A308" t="inlineStr">
        <is>
          <t xml:space="preserve">Мужской</t>
        </is>
      </c>
      <c r="B308" t="inlineStr">
        <is>
          <t xml:space="preserve">Брюки</t>
        </is>
      </c>
      <c r="C308" t="inlineStr">
        <is>
          <t xml:space="preserve">Брюки классические в клетку</t>
        </is>
      </c>
      <c r="D308" t="inlineStr">
        <is>
          <t xml:space="preserve">PA52M01Синий,белый</t>
        </is>
      </c>
      <c r="E308" t="inlineStr">
        <is>
          <t xml:space="preserve">голубой меланж, бежевый лайт, серый</t>
        </is>
      </c>
      <c r="F308" t="inlineStr">
        <is>
          <t xml:space="preserve">46</t>
        </is>
      </c>
      <c r="G308">
        <v>18</v>
      </c>
      <c r="H308" s="2">
        <v>47.0</v>
      </c>
      <c r="I308" t="inlineStr">
        <is>
          <t xml:space="preserve">Брюки мужские классические в клетку 70% полиэстер, 27% вискоза, 3% эластан, штаны мужские в клетку, штаны в клетку мужские, брюки классические мужские, слаксы…</t>
        </is>
      </c>
      <c r="J308" t="inlineStr">
        <is>
          <t xml:space="preserve">демисезон</t>
        </is>
      </c>
      <c r="K308" t="inlineStr">
        <is>
          <t xml:space="preserve">Бангладеш</t>
        </is>
      </c>
      <c r="L308" t="inlineStr">
        <is>
          <t xml:space="preserve">6203431900</t>
        </is>
      </c>
      <c r="M308" t="inlineStr">
        <is>
          <t xml:space="preserve">Декларация № ЕАЭС № BY/112 11.01. ТР017 122.01 08246, до 19.04.2028</t>
        </is>
      </c>
      <c r="N308" t="inlineStr">
        <is>
          <t xml:space="preserve">36 × 30 × 2</t>
        </is>
      </c>
      <c r="O308" t="inlineStr">
        <is>
          <t xml:space="preserve">0,4</t>
        </is>
      </c>
      <c r="P308" t="inlineStr">
        <is>
          <t xml:space="preserve">4816148157850</t>
        </is>
      </c>
      <c r="Q308" s="3" t="str">
        <f>HYPERLINK("https://modify.by/img/348649981/1.webp","фото")</f>
        <v>фото</v>
      </c>
      <c r="R308" s="3" t="str">
        <f>HYPERLINK("https://modify.by/catalog/bryuki/348649981/?utm_source=price&amp;utm_medium=xlsx","открыть")</f>
        <v>открыть</v>
      </c>
    </row>
    <row r="309">
      <c r="A309" t="inlineStr">
        <is>
          <t xml:space="preserve">Мужской</t>
        </is>
      </c>
      <c r="B309" t="inlineStr">
        <is>
          <t xml:space="preserve">Брюки</t>
        </is>
      </c>
      <c r="C309" t="inlineStr">
        <is>
          <t xml:space="preserve">Брюки классические в клетку</t>
        </is>
      </c>
      <c r="D309" t="inlineStr">
        <is>
          <t xml:space="preserve">PA52M01Синий,белый</t>
        </is>
      </c>
      <c r="E309" t="inlineStr">
        <is>
          <t xml:space="preserve">голубой меланж, бежевый лайт, серый</t>
        </is>
      </c>
      <c r="F309" t="inlineStr">
        <is>
          <t xml:space="preserve">48</t>
        </is>
      </c>
      <c r="G309">
        <v>27</v>
      </c>
      <c r="H309" s="2">
        <v>47.0</v>
      </c>
      <c r="I309" t="inlineStr">
        <is>
          <t xml:space="preserve">Брюки мужские классические в клетку 70% полиэстер, 27% вискоза, 3% эластан, штаны мужские в клетку, штаны в клетку мужские, брюки классические мужские, слаксы…</t>
        </is>
      </c>
      <c r="J309" t="inlineStr">
        <is>
          <t xml:space="preserve">демисезон</t>
        </is>
      </c>
      <c r="K309" t="inlineStr">
        <is>
          <t xml:space="preserve">Бангладеш</t>
        </is>
      </c>
      <c r="L309" t="inlineStr">
        <is>
          <t xml:space="preserve">6203431900</t>
        </is>
      </c>
      <c r="M309" t="inlineStr">
        <is>
          <t xml:space="preserve">Декларация № ЕАЭС № BY/112 11.01. ТР017 122.01 08246, до 19.04.2028</t>
        </is>
      </c>
      <c r="N309" t="inlineStr">
        <is>
          <t xml:space="preserve">36 × 30 × 2</t>
        </is>
      </c>
      <c r="O309" t="inlineStr">
        <is>
          <t xml:space="preserve">0,4</t>
        </is>
      </c>
      <c r="P309" t="inlineStr">
        <is>
          <t xml:space="preserve">4816148157867</t>
        </is>
      </c>
      <c r="Q309" s="3" t="str">
        <f>HYPERLINK("https://modify.by/img/348649981/1.webp","фото")</f>
        <v>фото</v>
      </c>
      <c r="R309" s="3" t="str">
        <f>HYPERLINK("https://modify.by/catalog/bryuki/348649981/?utm_source=price&amp;utm_medium=xlsx","открыть")</f>
        <v>открыть</v>
      </c>
    </row>
    <row r="310">
      <c r="A310" t="inlineStr">
        <is>
          <t xml:space="preserve">Мужской</t>
        </is>
      </c>
      <c r="B310" t="inlineStr">
        <is>
          <t xml:space="preserve">Брюки</t>
        </is>
      </c>
      <c r="C310" t="inlineStr">
        <is>
          <t xml:space="preserve">Брюки хлопковые классические чиносы, бежевый</t>
        </is>
      </c>
      <c r="D310" t="inlineStr">
        <is>
          <t xml:space="preserve">CH12M02**Бежевый</t>
        </is>
      </c>
      <c r="E310" t="inlineStr">
        <is>
          <t xml:space="preserve">бежевый</t>
        </is>
      </c>
      <c r="F310" t="inlineStr">
        <is>
          <t xml:space="preserve">48</t>
        </is>
      </c>
      <c r="G310">
        <v>1</v>
      </c>
      <c r="H310" s="2">
        <v>37.0</v>
      </c>
      <c r="I310" t="inlineStr">
        <is>
          <t xml:space="preserve">Хлопок 98%, Эластан 2%</t>
        </is>
      </c>
      <c r="J310" t="inlineStr">
        <is>
          <t xml:space="preserve">круглогодичный</t>
        </is>
      </c>
      <c r="K310" t="inlineStr">
        <is>
          <t xml:space="preserve">Бангладеш</t>
        </is>
      </c>
      <c r="L310" t="inlineStr">
        <is>
          <t xml:space="preserve">6203411000</t>
        </is>
      </c>
      <c r="M310" t="inlineStr">
        <is>
          <t xml:space="preserve">по запросу</t>
        </is>
      </c>
      <c r="N310" t="inlineStr">
        <is>
          <t xml:space="preserve">2 × 30 × 35</t>
        </is>
      </c>
      <c r="O310" t="inlineStr">
        <is>
          <t xml:space="preserve">0,8</t>
        </is>
      </c>
      <c r="P310" t="inlineStr">
        <is>
          <t xml:space="preserve">2004570323628</t>
        </is>
      </c>
      <c r="Q310" s="3" t="str">
        <f>HYPERLINK("https://modify.by/img/60841394/1.webp","фото")</f>
        <v>фото</v>
      </c>
      <c r="R310" s="3" t="str">
        <f>HYPERLINK("https://modify.by/catalog/bryuki/60841394/?utm_source=price&amp;utm_medium=xlsx","открыть")</f>
        <v>открыть</v>
      </c>
    </row>
    <row r="311">
      <c r="A311" t="inlineStr">
        <is>
          <t xml:space="preserve">Мужской</t>
        </is>
      </c>
      <c r="B311" t="inlineStr">
        <is>
          <t xml:space="preserve">Брюки</t>
        </is>
      </c>
      <c r="C311" t="inlineStr">
        <is>
          <t xml:space="preserve">Брюки хлопковые классические чиносы, молочный</t>
        </is>
      </c>
      <c r="D311" t="inlineStr">
        <is>
          <t xml:space="preserve">CH12M02**Молочный</t>
        </is>
      </c>
      <c r="E311" t="inlineStr">
        <is>
          <t xml:space="preserve">молочный</t>
        </is>
      </c>
      <c r="F311" t="inlineStr">
        <is>
          <t xml:space="preserve">50</t>
        </is>
      </c>
      <c r="G311">
        <v>4</v>
      </c>
      <c r="H311" s="2">
        <v>37.0</v>
      </c>
      <c r="I311" t="inlineStr">
        <is>
          <t xml:space="preserve">Хлопок 98%, Эластан 2%</t>
        </is>
      </c>
      <c r="J311" t="inlineStr">
        <is>
          <t xml:space="preserve">круглогодичный</t>
        </is>
      </c>
      <c r="K311" t="inlineStr">
        <is>
          <t xml:space="preserve">Бангладеш</t>
        </is>
      </c>
      <c r="L311" t="inlineStr">
        <is>
          <t xml:space="preserve">6203411000</t>
        </is>
      </c>
      <c r="M311" t="inlineStr">
        <is>
          <t xml:space="preserve">Декларация № ЕАЭС № BY/112 11.01. ТР017 122.01 08246, до 19.04.2028</t>
        </is>
      </c>
      <c r="N311" t="inlineStr">
        <is>
          <t xml:space="preserve">2 × 30 × 35</t>
        </is>
      </c>
      <c r="O311" t="inlineStr">
        <is>
          <t xml:space="preserve">0,8</t>
        </is>
      </c>
      <c r="P311" t="inlineStr">
        <is>
          <t xml:space="preserve">2004570323659</t>
        </is>
      </c>
      <c r="Q311" s="3" t="str">
        <f>HYPERLINK("https://modify.by/img/60841395/1.webp","фото")</f>
        <v>фото</v>
      </c>
      <c r="R311" s="3" t="str">
        <f>HYPERLINK("https://modify.by/catalog/bryuki/60841395/?utm_source=price&amp;utm_medium=xlsx","открыть")</f>
        <v>открыть</v>
      </c>
    </row>
    <row r="312">
      <c r="A312" t="inlineStr">
        <is>
          <t xml:space="preserve">Мужской</t>
        </is>
      </c>
      <c r="B312" t="inlineStr">
        <is>
          <t xml:space="preserve">Брюки</t>
        </is>
      </c>
      <c r="C312" t="inlineStr">
        <is>
          <t xml:space="preserve">Брюки хлопковые классические чиносы, молочный</t>
        </is>
      </c>
      <c r="D312" t="inlineStr">
        <is>
          <t xml:space="preserve">CH12M02**Молочный</t>
        </is>
      </c>
      <c r="E312" t="inlineStr">
        <is>
          <t xml:space="preserve">молочный</t>
        </is>
      </c>
      <c r="F312" t="inlineStr">
        <is>
          <t xml:space="preserve">50</t>
        </is>
      </c>
      <c r="G312">
        <v>4</v>
      </c>
      <c r="H312" s="2">
        <v>37.0</v>
      </c>
      <c r="I312" t="inlineStr">
        <is>
          <t xml:space="preserve">Хлопок 98%, Эластан 2%</t>
        </is>
      </c>
      <c r="J312" t="inlineStr">
        <is>
          <t xml:space="preserve">круглогодичный</t>
        </is>
      </c>
      <c r="K312" t="inlineStr">
        <is>
          <t xml:space="preserve">Бангладеш</t>
        </is>
      </c>
      <c r="L312" t="inlineStr">
        <is>
          <t xml:space="preserve">6203411000</t>
        </is>
      </c>
      <c r="M312" t="inlineStr">
        <is>
          <t xml:space="preserve">Декларация № ЕАЭС № BY/112 11.01. ТР017 122.01 08246, до 19.04.2028</t>
        </is>
      </c>
      <c r="N312" t="inlineStr">
        <is>
          <t xml:space="preserve">2 × 30 × 35</t>
        </is>
      </c>
      <c r="O312" t="inlineStr">
        <is>
          <t xml:space="preserve">0,8</t>
        </is>
      </c>
      <c r="P312" t="inlineStr">
        <is>
          <t xml:space="preserve">4816148177759</t>
        </is>
      </c>
      <c r="Q312" s="3" t="str">
        <f>HYPERLINK("https://modify.by/img/60841395/1.webp","фото")</f>
        <v>фото</v>
      </c>
      <c r="R312" s="3" t="str">
        <f>HYPERLINK("https://modify.by/catalog/bryuki/60841395/?utm_source=price&amp;utm_medium=xlsx","открыть")</f>
        <v>открыть</v>
      </c>
    </row>
    <row r="313">
      <c r="A313" t="inlineStr">
        <is>
          <t xml:space="preserve">Мужской</t>
        </is>
      </c>
      <c r="B313" t="inlineStr">
        <is>
          <t xml:space="preserve">Брюки</t>
        </is>
      </c>
      <c r="C313" t="inlineStr">
        <is>
          <t xml:space="preserve">Брюки хлопковые классические чиносы, серо-голубой</t>
        </is>
      </c>
      <c r="D313" t="inlineStr">
        <is>
          <t xml:space="preserve">CH12M02**Серо-голубой</t>
        </is>
      </c>
      <c r="E313" t="inlineStr">
        <is>
          <t xml:space="preserve">серо-голубой</t>
        </is>
      </c>
      <c r="F313" t="inlineStr">
        <is>
          <t xml:space="preserve">46</t>
        </is>
      </c>
      <c r="G313">
        <v>3</v>
      </c>
      <c r="H313" s="2">
        <v>37.0</v>
      </c>
      <c r="I313" t="inlineStr">
        <is>
          <t xml:space="preserve">Хлопок 98%, Эластан 2%</t>
        </is>
      </c>
      <c r="J313" t="inlineStr">
        <is>
          <t xml:space="preserve">круглогодичный</t>
        </is>
      </c>
      <c r="K313" t="inlineStr">
        <is>
          <t xml:space="preserve">Бангладеш</t>
        </is>
      </c>
      <c r="L313" t="inlineStr">
        <is>
          <t xml:space="preserve">6203411000</t>
        </is>
      </c>
      <c r="M313" t="inlineStr">
        <is>
          <t xml:space="preserve">Декларация № ЕАЭС № BY/112 11.01. ТР017 122.01 08246, до 19.04.2028</t>
        </is>
      </c>
      <c r="N313" t="inlineStr">
        <is>
          <t xml:space="preserve">2 × 30 × 35</t>
        </is>
      </c>
      <c r="O313" t="inlineStr">
        <is>
          <t xml:space="preserve">0,8</t>
        </is>
      </c>
      <c r="P313" t="inlineStr">
        <is>
          <t xml:space="preserve">2004570323550</t>
        </is>
      </c>
      <c r="Q313" s="3" t="str">
        <f>HYPERLINK("https://modify.by/img/60841396/1.webp","фото")</f>
        <v>фото</v>
      </c>
      <c r="R313" s="3" t="str">
        <f>HYPERLINK("https://modify.by/catalog/bryuki/60841396/?utm_source=price&amp;utm_medium=xlsx","открыть")</f>
        <v>открыть</v>
      </c>
    </row>
    <row r="314">
      <c r="A314" t="inlineStr">
        <is>
          <t xml:space="preserve">Мужской</t>
        </is>
      </c>
      <c r="B314" t="inlineStr">
        <is>
          <t xml:space="preserve">Брюки</t>
        </is>
      </c>
      <c r="C314" t="inlineStr">
        <is>
          <t xml:space="preserve">Брюки хлопковые классические чиносы, серо-голубой</t>
        </is>
      </c>
      <c r="D314" t="inlineStr">
        <is>
          <t xml:space="preserve">CH12M02**Серо-голубой</t>
        </is>
      </c>
      <c r="E314" t="inlineStr">
        <is>
          <t xml:space="preserve">серо-голубой</t>
        </is>
      </c>
      <c r="F314" t="inlineStr">
        <is>
          <t xml:space="preserve">46</t>
        </is>
      </c>
      <c r="G314">
        <v>3</v>
      </c>
      <c r="H314" s="2">
        <v>37.0</v>
      </c>
      <c r="I314" t="inlineStr">
        <is>
          <t xml:space="preserve">Хлопок 98%, Эластан 2%</t>
        </is>
      </c>
      <c r="J314" t="inlineStr">
        <is>
          <t xml:space="preserve">круглогодичный</t>
        </is>
      </c>
      <c r="K314" t="inlineStr">
        <is>
          <t xml:space="preserve">Бангладеш</t>
        </is>
      </c>
      <c r="L314" t="inlineStr">
        <is>
          <t xml:space="preserve">6203411000</t>
        </is>
      </c>
      <c r="M314" t="inlineStr">
        <is>
          <t xml:space="preserve">Декларация № ЕАЭС № BY/112 11.01. ТР017 122.01 08246, до 19.04.2028</t>
        </is>
      </c>
      <c r="N314" t="inlineStr">
        <is>
          <t xml:space="preserve">2 × 30 × 35</t>
        </is>
      </c>
      <c r="O314" t="inlineStr">
        <is>
          <t xml:space="preserve">0,8</t>
        </is>
      </c>
      <c r="P314" t="inlineStr">
        <is>
          <t xml:space="preserve">4816148177766</t>
        </is>
      </c>
      <c r="Q314" s="3" t="str">
        <f>HYPERLINK("https://modify.by/img/60841396/1.webp","фото")</f>
        <v>фото</v>
      </c>
      <c r="R314" s="3" t="str">
        <f>HYPERLINK("https://modify.by/catalog/bryuki/60841396/?utm_source=price&amp;utm_medium=xlsx","открыть")</f>
        <v>открыть</v>
      </c>
    </row>
    <row r="315">
      <c r="A315" t="inlineStr">
        <is>
          <t xml:space="preserve">Мужской</t>
        </is>
      </c>
      <c r="B315" t="inlineStr">
        <is>
          <t xml:space="preserve">Брюки</t>
        </is>
      </c>
      <c r="C315" t="inlineStr">
        <is>
          <t xml:space="preserve">Брюки хлопковые классические чиносы, синий</t>
        </is>
      </c>
      <c r="D315" t="inlineStr">
        <is>
          <t xml:space="preserve">CH12M02**Синий</t>
        </is>
      </c>
      <c r="E315" t="inlineStr">
        <is>
          <t xml:space="preserve">синий</t>
        </is>
      </c>
      <c r="F315" t="inlineStr">
        <is>
          <t xml:space="preserve">52</t>
        </is>
      </c>
      <c r="G315">
        <v>1</v>
      </c>
      <c r="H315" s="2">
        <v>37.0</v>
      </c>
      <c r="I315" t="inlineStr">
        <is>
          <t xml:space="preserve">Хлопок 98%, Эластан 2%</t>
        </is>
      </c>
      <c r="J315" t="inlineStr">
        <is>
          <t xml:space="preserve">круглогодичный</t>
        </is>
      </c>
      <c r="K315" t="inlineStr">
        <is>
          <t xml:space="preserve">Бангладеш</t>
        </is>
      </c>
      <c r="L315" t="inlineStr">
        <is>
          <t xml:space="preserve">6203411000</t>
        </is>
      </c>
      <c r="M315" t="inlineStr">
        <is>
          <t xml:space="preserve">по запросу</t>
        </is>
      </c>
      <c r="N315" t="inlineStr">
        <is>
          <t xml:space="preserve">2 × 30 × 35</t>
        </is>
      </c>
      <c r="O315" t="inlineStr">
        <is>
          <t xml:space="preserve">0,8</t>
        </is>
      </c>
      <c r="P315" t="inlineStr">
        <is>
          <t xml:space="preserve">2004570323567</t>
        </is>
      </c>
      <c r="Q315" s="3" t="str">
        <f>HYPERLINK("https://modify.by/img/60841397/1.webp","фото")</f>
        <v>фото</v>
      </c>
      <c r="R315" s="3" t="str">
        <f>HYPERLINK("https://modify.by/catalog/bryuki/60841397/?utm_source=price&amp;utm_medium=xlsx","открыть")</f>
        <v>открыть</v>
      </c>
    </row>
    <row r="316">
      <c r="A316" t="inlineStr">
        <is>
          <t xml:space="preserve">Мужской</t>
        </is>
      </c>
      <c r="B316" t="inlineStr">
        <is>
          <t xml:space="preserve">Брюки</t>
        </is>
      </c>
      <c r="C316" t="inlineStr">
        <is>
          <t xml:space="preserve">Брюки чинос</t>
        </is>
      </c>
      <c r="D316" t="inlineStr">
        <is>
          <t xml:space="preserve">CH22M021*Молочный</t>
        </is>
      </c>
      <c r="E316" t="inlineStr">
        <is>
          <t xml:space="preserve">молочный</t>
        </is>
      </c>
      <c r="F316" t="inlineStr">
        <is>
          <t xml:space="preserve">44/46-182</t>
        </is>
      </c>
      <c r="G316">
        <v>1</v>
      </c>
      <c r="H316" s="2">
        <v>33.0</v>
      </c>
      <c r="I316" t="inlineStr">
        <is>
          <t xml:space="preserve">100% хлопок</t>
        </is>
      </c>
      <c r="J316" t="inlineStr">
        <is>
          <t xml:space="preserve">Круглогодичный</t>
        </is>
      </c>
      <c r="K316" t="inlineStr">
        <is>
          <t xml:space="preserve">Бангладеш</t>
        </is>
      </c>
      <c r="L316" t="inlineStr">
        <is>
          <t xml:space="preserve">6203423500</t>
        </is>
      </c>
      <c r="M316" t="inlineStr">
        <is>
          <t xml:space="preserve">по запросу</t>
        </is>
      </c>
      <c r="N316"/>
      <c r="O316"/>
      <c r="P316" t="inlineStr">
        <is>
          <t xml:space="preserve">2016957035086</t>
        </is>
      </c>
      <c r="Q316" s="3" t="str">
        <f>HYPERLINK("https://modify.by/img/97205020/1.webp","фото")</f>
        <v>фото</v>
      </c>
      <c r="R316" s="3" t="str">
        <f>HYPERLINK("https://modify.by/catalog/bryuki/97205020/?utm_source=price&amp;utm_medium=xlsx","открыть")</f>
        <v>открыть</v>
      </c>
    </row>
    <row r="317">
      <c r="A317" t="inlineStr">
        <is>
          <t xml:space="preserve">Мужской</t>
        </is>
      </c>
      <c r="B317" t="inlineStr">
        <is>
          <t xml:space="preserve">Брюки</t>
        </is>
      </c>
      <c r="C317" t="inlineStr">
        <is>
          <t xml:space="preserve">Брюки чиносы классические прямые хлопок 100%, серо-бежевый светлый</t>
        </is>
      </c>
      <c r="D317" t="inlineStr">
        <is>
          <t xml:space="preserve">PA42M02бежевый</t>
        </is>
      </c>
      <c r="E317" t="inlineStr">
        <is>
          <t xml:space="preserve">серо-бежевый светлый</t>
        </is>
      </c>
      <c r="F317" t="inlineStr">
        <is>
          <t xml:space="preserve">48</t>
        </is>
      </c>
      <c r="G317">
        <v>6</v>
      </c>
      <c r="H317" s="2">
        <v>47.0</v>
      </c>
      <c r="I317" t="inlineStr">
        <is>
          <t xml:space="preserve">хлопок</t>
        </is>
      </c>
      <c r="J317" t="inlineStr">
        <is>
          <t xml:space="preserve">Демисезон</t>
        </is>
      </c>
      <c r="K317" t="inlineStr">
        <is>
          <t xml:space="preserve">Бангладеш</t>
        </is>
      </c>
      <c r="L317" t="inlineStr">
        <is>
          <t xml:space="preserve">6203423500</t>
        </is>
      </c>
      <c r="M317" t="inlineStr">
        <is>
          <t xml:space="preserve">Декларация № ЕАЭС № BY/112 11.01. ТР017 122.01 08246, до 19.04.2028</t>
        </is>
      </c>
      <c r="N317" t="inlineStr">
        <is>
          <t xml:space="preserve">28 × 37 × 2</t>
        </is>
      </c>
      <c r="O317" t="inlineStr">
        <is>
          <t xml:space="preserve">0,45</t>
        </is>
      </c>
      <c r="P317" t="inlineStr">
        <is>
          <t xml:space="preserve">4816148109767</t>
        </is>
      </c>
      <c r="Q317" s="3" t="str">
        <f>HYPERLINK("https://modify.by/img/243771055/1.webp","фото")</f>
        <v>фото</v>
      </c>
      <c r="R317" s="3" t="str">
        <f>HYPERLINK("https://modify.by/catalog/bryuki/243771055/?utm_source=price&amp;utm_medium=xlsx","открыть")</f>
        <v>открыть</v>
      </c>
    </row>
    <row r="318">
      <c r="A318" t="inlineStr">
        <is>
          <t xml:space="preserve">Мужской</t>
        </is>
      </c>
      <c r="B318" t="inlineStr">
        <is>
          <t xml:space="preserve">Брюки</t>
        </is>
      </c>
      <c r="C318" t="inlineStr">
        <is>
          <t xml:space="preserve">Брюки чиносы классические прямые хлопок 100%, серо-бежевый светлый</t>
        </is>
      </c>
      <c r="D318" t="inlineStr">
        <is>
          <t xml:space="preserve">PA42M02бежевый</t>
        </is>
      </c>
      <c r="E318" t="inlineStr">
        <is>
          <t xml:space="preserve">серо-бежевый светлый</t>
        </is>
      </c>
      <c r="F318" t="inlineStr">
        <is>
          <t xml:space="preserve">50</t>
        </is>
      </c>
      <c r="G318">
        <v>43</v>
      </c>
      <c r="H318" s="2">
        <v>47.0</v>
      </c>
      <c r="I318" t="inlineStr">
        <is>
          <t xml:space="preserve">хлопок</t>
        </is>
      </c>
      <c r="J318" t="inlineStr">
        <is>
          <t xml:space="preserve">Демисезон</t>
        </is>
      </c>
      <c r="K318" t="inlineStr">
        <is>
          <t xml:space="preserve">Бангладеш</t>
        </is>
      </c>
      <c r="L318" t="inlineStr">
        <is>
          <t xml:space="preserve">6203423500</t>
        </is>
      </c>
      <c r="M318" t="inlineStr">
        <is>
          <t xml:space="preserve">Декларация № ЕАЭС № BY/112 11.01. ТР017 122.01 08246, до 19.04.2028</t>
        </is>
      </c>
      <c r="N318" t="inlineStr">
        <is>
          <t xml:space="preserve">28 × 37 × 2</t>
        </is>
      </c>
      <c r="O318" t="inlineStr">
        <is>
          <t xml:space="preserve">0,45</t>
        </is>
      </c>
      <c r="P318" t="inlineStr">
        <is>
          <t xml:space="preserve">4816148109774</t>
        </is>
      </c>
      <c r="Q318" s="3" t="str">
        <f>HYPERLINK("https://modify.by/img/243771055/1.webp","фото")</f>
        <v>фото</v>
      </c>
      <c r="R318" s="3" t="str">
        <f>HYPERLINK("https://modify.by/catalog/bryuki/243771055/?utm_source=price&amp;utm_medium=xlsx","открыть")</f>
        <v>открыть</v>
      </c>
    </row>
    <row r="319">
      <c r="A319" t="inlineStr">
        <is>
          <t xml:space="preserve">Мужской</t>
        </is>
      </c>
      <c r="B319" t="inlineStr">
        <is>
          <t xml:space="preserve">Брюки</t>
        </is>
      </c>
      <c r="C319" t="inlineStr">
        <is>
          <t xml:space="preserve">Брюки чиносы классические прямые хлопок 100%, серо-бежевый светлый</t>
        </is>
      </c>
      <c r="D319" t="inlineStr">
        <is>
          <t xml:space="preserve">PA42M02бежевый</t>
        </is>
      </c>
      <c r="E319" t="inlineStr">
        <is>
          <t xml:space="preserve">серо-бежевый светлый</t>
        </is>
      </c>
      <c r="F319" t="inlineStr">
        <is>
          <t xml:space="preserve">52</t>
        </is>
      </c>
      <c r="G319">
        <v>28</v>
      </c>
      <c r="H319" s="2">
        <v>47.0</v>
      </c>
      <c r="I319" t="inlineStr">
        <is>
          <t xml:space="preserve">хлопок</t>
        </is>
      </c>
      <c r="J319" t="inlineStr">
        <is>
          <t xml:space="preserve">Демисезон</t>
        </is>
      </c>
      <c r="K319" t="inlineStr">
        <is>
          <t xml:space="preserve">Бангладеш</t>
        </is>
      </c>
      <c r="L319" t="inlineStr">
        <is>
          <t xml:space="preserve">6203423500</t>
        </is>
      </c>
      <c r="M319" t="inlineStr">
        <is>
          <t xml:space="preserve">Декларация № ЕАЭС № BY/112 11.01. ТР017 122.01 08246, до 19.04.2028</t>
        </is>
      </c>
      <c r="N319" t="inlineStr">
        <is>
          <t xml:space="preserve">28 × 37 × 2</t>
        </is>
      </c>
      <c r="O319" t="inlineStr">
        <is>
          <t xml:space="preserve">0,45</t>
        </is>
      </c>
      <c r="P319" t="inlineStr">
        <is>
          <t xml:space="preserve">4816148109781</t>
        </is>
      </c>
      <c r="Q319" s="3" t="str">
        <f>HYPERLINK("https://modify.by/img/243771055/1.webp","фото")</f>
        <v>фото</v>
      </c>
      <c r="R319" s="3" t="str">
        <f>HYPERLINK("https://modify.by/catalog/bryuki/243771055/?utm_source=price&amp;utm_medium=xlsx","открыть")</f>
        <v>открыть</v>
      </c>
    </row>
    <row r="320">
      <c r="A320" t="inlineStr">
        <is>
          <t xml:space="preserve">Мужской</t>
        </is>
      </c>
      <c r="B320" t="inlineStr">
        <is>
          <t xml:space="preserve">Брюки</t>
        </is>
      </c>
      <c r="C320" t="inlineStr">
        <is>
          <t xml:space="preserve">Брюки чиносы классические прямые хлопок 100%, серый</t>
        </is>
      </c>
      <c r="D320" t="inlineStr">
        <is>
          <t xml:space="preserve">PA42M02серый</t>
        </is>
      </c>
      <c r="E320" t="inlineStr">
        <is>
          <t xml:space="preserve">серый</t>
        </is>
      </c>
      <c r="F320" t="inlineStr">
        <is>
          <t xml:space="preserve">48</t>
        </is>
      </c>
      <c r="G320">
        <v>9</v>
      </c>
      <c r="H320" s="2">
        <v>47.0</v>
      </c>
      <c r="I320" t="inlineStr">
        <is>
          <t xml:space="preserve">хлопок 100%</t>
        </is>
      </c>
      <c r="J320" t="inlineStr">
        <is>
          <t xml:space="preserve">Демисезон</t>
        </is>
      </c>
      <c r="K320" t="inlineStr">
        <is>
          <t xml:space="preserve">Бангладеш</t>
        </is>
      </c>
      <c r="L320" t="inlineStr">
        <is>
          <t xml:space="preserve">6203423500</t>
        </is>
      </c>
      <c r="M320" t="inlineStr">
        <is>
          <t xml:space="preserve">Декларация № ЕАЭС № BY/112 11.01. ТР017 122.01 08246, до 19.04.2028</t>
        </is>
      </c>
      <c r="N320" t="inlineStr">
        <is>
          <t xml:space="preserve">31 × 36 × 2</t>
        </is>
      </c>
      <c r="O320" t="inlineStr">
        <is>
          <t xml:space="preserve">0,45</t>
        </is>
      </c>
      <c r="P320" t="inlineStr">
        <is>
          <t xml:space="preserve">4816148109842</t>
        </is>
      </c>
      <c r="Q320" s="3" t="str">
        <f>HYPERLINK("https://modify.by/img/243771058/1.webp","фото")</f>
        <v>фото</v>
      </c>
      <c r="R320" s="3" t="str">
        <f>HYPERLINK("https://modify.by/catalog/bryuki/243771058/?utm_source=price&amp;utm_medium=xlsx","открыть")</f>
        <v>открыть</v>
      </c>
    </row>
    <row r="321">
      <c r="A321" t="inlineStr">
        <is>
          <t xml:space="preserve">Мужской</t>
        </is>
      </c>
      <c r="B321" t="inlineStr">
        <is>
          <t xml:space="preserve">Брюки</t>
        </is>
      </c>
      <c r="C321" t="inlineStr">
        <is>
          <t xml:space="preserve">Брюки чиносы классические прямые хлопок 100%, серый</t>
        </is>
      </c>
      <c r="D321" t="inlineStr">
        <is>
          <t xml:space="preserve">PA42M02серый</t>
        </is>
      </c>
      <c r="E321" t="inlineStr">
        <is>
          <t xml:space="preserve">серый</t>
        </is>
      </c>
      <c r="F321" t="inlineStr">
        <is>
          <t xml:space="preserve">50</t>
        </is>
      </c>
      <c r="G321">
        <v>58</v>
      </c>
      <c r="H321" s="2">
        <v>47.0</v>
      </c>
      <c r="I321" t="inlineStr">
        <is>
          <t xml:space="preserve">хлопок 100%</t>
        </is>
      </c>
      <c r="J321" t="inlineStr">
        <is>
          <t xml:space="preserve">Демисезон</t>
        </is>
      </c>
      <c r="K321" t="inlineStr">
        <is>
          <t xml:space="preserve">Бангладеш</t>
        </is>
      </c>
      <c r="L321" t="inlineStr">
        <is>
          <t xml:space="preserve">6203423500</t>
        </is>
      </c>
      <c r="M321" t="inlineStr">
        <is>
          <t xml:space="preserve">Декларация № ЕАЭС № BY/112 11.01. ТР017 122.01 08246, до 19.04.2028</t>
        </is>
      </c>
      <c r="N321" t="inlineStr">
        <is>
          <t xml:space="preserve">31 × 36 × 2</t>
        </is>
      </c>
      <c r="O321" t="inlineStr">
        <is>
          <t xml:space="preserve">0,45</t>
        </is>
      </c>
      <c r="P321" t="inlineStr">
        <is>
          <t xml:space="preserve">4816148109859</t>
        </is>
      </c>
      <c r="Q321" s="3" t="str">
        <f>HYPERLINK("https://modify.by/img/243771058/1.webp","фото")</f>
        <v>фото</v>
      </c>
      <c r="R321" s="3" t="str">
        <f>HYPERLINK("https://modify.by/catalog/bryuki/243771058/?utm_source=price&amp;utm_medium=xlsx","открыть")</f>
        <v>открыть</v>
      </c>
    </row>
    <row r="322">
      <c r="A322" t="inlineStr">
        <is>
          <t xml:space="preserve">Мужской</t>
        </is>
      </c>
      <c r="B322" t="inlineStr">
        <is>
          <t xml:space="preserve">Брюки</t>
        </is>
      </c>
      <c r="C322" t="inlineStr">
        <is>
          <t xml:space="preserve">Брюки чиносы классические прямые хлопок 100%, серый</t>
        </is>
      </c>
      <c r="D322" t="inlineStr">
        <is>
          <t xml:space="preserve">PA42M02серый</t>
        </is>
      </c>
      <c r="E322" t="inlineStr">
        <is>
          <t xml:space="preserve">серый</t>
        </is>
      </c>
      <c r="F322" t="inlineStr">
        <is>
          <t xml:space="preserve">52</t>
        </is>
      </c>
      <c r="G322">
        <v>33</v>
      </c>
      <c r="H322" s="2">
        <v>47.0</v>
      </c>
      <c r="I322" t="inlineStr">
        <is>
          <t xml:space="preserve">хлопок 100%</t>
        </is>
      </c>
      <c r="J322" t="inlineStr">
        <is>
          <t xml:space="preserve">Демисезон</t>
        </is>
      </c>
      <c r="K322" t="inlineStr">
        <is>
          <t xml:space="preserve">Бангладеш</t>
        </is>
      </c>
      <c r="L322" t="inlineStr">
        <is>
          <t xml:space="preserve">6203423500</t>
        </is>
      </c>
      <c r="M322" t="inlineStr">
        <is>
          <t xml:space="preserve">Декларация № ЕАЭС № BY/112 11.01. ТР017 122.01 08246, до 19.04.2028</t>
        </is>
      </c>
      <c r="N322" t="inlineStr">
        <is>
          <t xml:space="preserve">31 × 36 × 2</t>
        </is>
      </c>
      <c r="O322" t="inlineStr">
        <is>
          <t xml:space="preserve">0,45</t>
        </is>
      </c>
      <c r="P322" t="inlineStr">
        <is>
          <t xml:space="preserve">4816148109866</t>
        </is>
      </c>
      <c r="Q322" s="3" t="str">
        <f>HYPERLINK("https://modify.by/img/243771058/1.webp","фото")</f>
        <v>фото</v>
      </c>
      <c r="R322" s="3" t="str">
        <f>HYPERLINK("https://modify.by/catalog/bryuki/243771058/?utm_source=price&amp;utm_medium=xlsx","открыть")</f>
        <v>открыть</v>
      </c>
    </row>
    <row r="323">
      <c r="A323" t="inlineStr">
        <is>
          <t xml:space="preserve">Мужской</t>
        </is>
      </c>
      <c r="B323" t="inlineStr">
        <is>
          <t xml:space="preserve">Брюки</t>
        </is>
      </c>
      <c r="C323" t="inlineStr">
        <is>
          <t xml:space="preserve">Брюки чиносы классические прямые хлопок 100%, темно-синий</t>
        </is>
      </c>
      <c r="D323" t="inlineStr">
        <is>
          <t xml:space="preserve">PA42M02темно-синий</t>
        </is>
      </c>
      <c r="E323" t="inlineStr">
        <is>
          <t xml:space="preserve">темно-синий</t>
        </is>
      </c>
      <c r="F323" t="inlineStr">
        <is>
          <t xml:space="preserve">50</t>
        </is>
      </c>
      <c r="G323">
        <v>30</v>
      </c>
      <c r="H323" s="2">
        <v>47.0</v>
      </c>
      <c r="I323" t="inlineStr">
        <is>
          <t xml:space="preserve">хлопок 100%</t>
        </is>
      </c>
      <c r="J323" t="inlineStr">
        <is>
          <t xml:space="preserve">Демисезон</t>
        </is>
      </c>
      <c r="K323" t="inlineStr">
        <is>
          <t xml:space="preserve">Бангладеш</t>
        </is>
      </c>
      <c r="L323" t="inlineStr">
        <is>
          <t xml:space="preserve">6203423500</t>
        </is>
      </c>
      <c r="M323" t="inlineStr">
        <is>
          <t xml:space="preserve">Декларация № ЕАЭС № BY/112 11.01. ТР017 122.01 08246, до 19.04.2028</t>
        </is>
      </c>
      <c r="N323" t="inlineStr">
        <is>
          <t xml:space="preserve">31 × 36 × 2</t>
        </is>
      </c>
      <c r="O323" t="inlineStr">
        <is>
          <t xml:space="preserve">0,45</t>
        </is>
      </c>
      <c r="P323" t="inlineStr">
        <is>
          <t xml:space="preserve">4816148109811</t>
        </is>
      </c>
      <c r="Q323" s="3" t="str">
        <f>HYPERLINK("https://modify.by/img/243771057/1.webp","фото")</f>
        <v>фото</v>
      </c>
      <c r="R323" s="3" t="str">
        <f>HYPERLINK("https://modify.by/catalog/bryuki/243771057/?utm_source=price&amp;utm_medium=xlsx","открыть")</f>
        <v>открыть</v>
      </c>
    </row>
    <row r="324">
      <c r="A324" t="inlineStr">
        <is>
          <t xml:space="preserve">Мужской</t>
        </is>
      </c>
      <c r="B324" t="inlineStr">
        <is>
          <t xml:space="preserve">Брюки</t>
        </is>
      </c>
      <c r="C324" t="inlineStr">
        <is>
          <t xml:space="preserve">Брюки чиносы классические прямые хлопок 100%, темно-синий</t>
        </is>
      </c>
      <c r="D324" t="inlineStr">
        <is>
          <t xml:space="preserve">PA42M02темно-синий</t>
        </is>
      </c>
      <c r="E324" t="inlineStr">
        <is>
          <t xml:space="preserve">темно-синий</t>
        </is>
      </c>
      <c r="F324" t="inlineStr">
        <is>
          <t xml:space="preserve">52</t>
        </is>
      </c>
      <c r="G324">
        <v>4</v>
      </c>
      <c r="H324" s="2">
        <v>47.0</v>
      </c>
      <c r="I324" t="inlineStr">
        <is>
          <t xml:space="preserve">хлопок 100%</t>
        </is>
      </c>
      <c r="J324" t="inlineStr">
        <is>
          <t xml:space="preserve">Демисезон</t>
        </is>
      </c>
      <c r="K324" t="inlineStr">
        <is>
          <t xml:space="preserve">Бангладеш</t>
        </is>
      </c>
      <c r="L324" t="inlineStr">
        <is>
          <t xml:space="preserve">6203423500</t>
        </is>
      </c>
      <c r="M324" t="inlineStr">
        <is>
          <t xml:space="preserve">Декларация № ЕАЭС № BY/112 11.01. ТР017 122.01 08246, до 19.04.2028</t>
        </is>
      </c>
      <c r="N324" t="inlineStr">
        <is>
          <t xml:space="preserve">31 × 36 × 2</t>
        </is>
      </c>
      <c r="O324" t="inlineStr">
        <is>
          <t xml:space="preserve">0,45</t>
        </is>
      </c>
      <c r="P324" t="inlineStr">
        <is>
          <t xml:space="preserve">4816148109828</t>
        </is>
      </c>
      <c r="Q324" s="3" t="str">
        <f>HYPERLINK("https://modify.by/img/243771057/1.webp","фото")</f>
        <v>фото</v>
      </c>
      <c r="R324" s="3" t="str">
        <f>HYPERLINK("https://modify.by/catalog/bryuki/243771057/?utm_source=price&amp;utm_medium=xlsx","открыть")</f>
        <v>открыть</v>
      </c>
    </row>
    <row r="325">
      <c r="A325" t="inlineStr">
        <is>
          <t xml:space="preserve">Мужской</t>
        </is>
      </c>
      <c r="B325" t="inlineStr">
        <is>
          <t xml:space="preserve">Брюки</t>
        </is>
      </c>
      <c r="C325" t="inlineStr">
        <is>
          <t xml:space="preserve">Брюки штроксы вельветовые Y2k</t>
        </is>
      </c>
      <c r="D325" t="inlineStr">
        <is>
          <t xml:space="preserve">PA42M01черный</t>
        </is>
      </c>
      <c r="E325" t="inlineStr">
        <is>
          <t xml:space="preserve">черный</t>
        </is>
      </c>
      <c r="F325" t="inlineStr">
        <is>
          <t xml:space="preserve">46</t>
        </is>
      </c>
      <c r="G325">
        <v>28</v>
      </c>
      <c r="H325" s="2">
        <v>50.0</v>
      </c>
      <c r="I325" t="inlineStr">
        <is>
          <t xml:space="preserve">100% хлопок</t>
        </is>
      </c>
      <c r="J325" t="inlineStr">
        <is>
          <t xml:space="preserve">Демисезон</t>
        </is>
      </c>
      <c r="K325" t="inlineStr">
        <is>
          <t xml:space="preserve">Бангладеш</t>
        </is>
      </c>
      <c r="L325" t="inlineStr">
        <is>
          <t xml:space="preserve">6203423500</t>
        </is>
      </c>
      <c r="M325" t="inlineStr">
        <is>
          <t xml:space="preserve">Декларация № ЕАЭС № BY/112 11.01. ТР017 122.01 08246, до 19.04.2028</t>
        </is>
      </c>
      <c r="N325" t="inlineStr">
        <is>
          <t xml:space="preserve">34 × 24 × 2</t>
        </is>
      </c>
      <c r="O325" t="inlineStr">
        <is>
          <t xml:space="preserve">0,58</t>
        </is>
      </c>
      <c r="P325" t="inlineStr">
        <is>
          <t xml:space="preserve">4816148110251</t>
        </is>
      </c>
      <c r="Q325" s="3" t="str">
        <f>HYPERLINK("https://modify.by/img/251906810/1.webp","фото")</f>
        <v>фото</v>
      </c>
      <c r="R325" s="3" t="str">
        <f>HYPERLINK("https://modify.by/catalog/bryuki/251906810/?utm_source=price&amp;utm_medium=xlsx","открыть")</f>
        <v>открыть</v>
      </c>
    </row>
    <row r="326">
      <c r="A326" t="inlineStr">
        <is>
          <t xml:space="preserve">Мужской</t>
        </is>
      </c>
      <c r="B326" t="inlineStr">
        <is>
          <t xml:space="preserve">Брюки</t>
        </is>
      </c>
      <c r="C326" t="inlineStr">
        <is>
          <t xml:space="preserve">Брюки штроксы вельветовые Y2k</t>
        </is>
      </c>
      <c r="D326" t="inlineStr">
        <is>
          <t xml:space="preserve">PA42M01черный</t>
        </is>
      </c>
      <c r="E326" t="inlineStr">
        <is>
          <t xml:space="preserve">черный</t>
        </is>
      </c>
      <c r="F326" t="inlineStr">
        <is>
          <t xml:space="preserve">48</t>
        </is>
      </c>
      <c r="G326">
        <v>4</v>
      </c>
      <c r="H326" s="2">
        <v>50.0</v>
      </c>
      <c r="I326" t="inlineStr">
        <is>
          <t xml:space="preserve">100% хлопок</t>
        </is>
      </c>
      <c r="J326" t="inlineStr">
        <is>
          <t xml:space="preserve">Демисезон</t>
        </is>
      </c>
      <c r="K326" t="inlineStr">
        <is>
          <t xml:space="preserve">Бангладеш</t>
        </is>
      </c>
      <c r="L326" t="inlineStr">
        <is>
          <t xml:space="preserve">6203423500</t>
        </is>
      </c>
      <c r="M326" t="inlineStr">
        <is>
          <t xml:space="preserve">Декларация № ЕАЭС № BY/112 11.01. ТР017 122.01 08246, до 19.04.2028</t>
        </is>
      </c>
      <c r="N326" t="inlineStr">
        <is>
          <t xml:space="preserve">34 × 24 × 2</t>
        </is>
      </c>
      <c r="O326" t="inlineStr">
        <is>
          <t xml:space="preserve">0,58</t>
        </is>
      </c>
      <c r="P326" t="inlineStr">
        <is>
          <t xml:space="preserve">4816148110268</t>
        </is>
      </c>
      <c r="Q326" s="3" t="str">
        <f>HYPERLINK("https://modify.by/img/251906810/1.webp","фото")</f>
        <v>фото</v>
      </c>
      <c r="R326" s="3" t="str">
        <f>HYPERLINK("https://modify.by/catalog/bryuki/251906810/?utm_source=price&amp;utm_medium=xlsx","открыть")</f>
        <v>открыть</v>
      </c>
    </row>
    <row r="327">
      <c r="A327" t="inlineStr">
        <is>
          <t xml:space="preserve">Мужской</t>
        </is>
      </c>
      <c r="B327" t="inlineStr">
        <is>
          <t xml:space="preserve">Брюки</t>
        </is>
      </c>
      <c r="C327" t="inlineStr">
        <is>
          <t xml:space="preserve">Брюки, темно-синий</t>
        </is>
      </c>
      <c r="D327" t="inlineStr">
        <is>
          <t xml:space="preserve">CH82M2темно-синий</t>
        </is>
      </c>
      <c r="E327" t="inlineStr">
        <is>
          <t xml:space="preserve">темно-синий</t>
        </is>
      </c>
      <c r="F327" t="inlineStr">
        <is>
          <t xml:space="preserve">46-176</t>
        </is>
      </c>
      <c r="G327">
        <v>1</v>
      </c>
      <c r="H327" s="2">
        <v>33.0</v>
      </c>
      <c r="I327" t="inlineStr">
        <is>
          <t xml:space="preserve">хлопок 100%</t>
        </is>
      </c>
      <c r="J327" t="inlineStr">
        <is>
          <t xml:space="preserve">Лето</t>
        </is>
      </c>
      <c r="K327" t="inlineStr">
        <is>
          <t xml:space="preserve">Бангладеш</t>
        </is>
      </c>
      <c r="L327" t="inlineStr">
        <is>
          <t xml:space="preserve">6203411000</t>
        </is>
      </c>
      <c r="M327" t="inlineStr">
        <is>
          <t xml:space="preserve">по запросу</t>
        </is>
      </c>
      <c r="N327"/>
      <c r="O327"/>
      <c r="P327" t="inlineStr">
        <is>
          <t xml:space="preserve">8595633608669</t>
        </is>
      </c>
      <c r="Q327" s="3" t="str">
        <f>HYPERLINK("https://modify.by/img/5828305/1.webp","фото")</f>
        <v>фото</v>
      </c>
      <c r="R327" s="3" t="str">
        <f>HYPERLINK("https://modify.by/catalog/bryuki/5828305/?utm_source=price&amp;utm_medium=xlsx","открыть")</f>
        <v>открыть</v>
      </c>
    </row>
    <row r="328">
      <c r="A328" t="inlineStr">
        <is>
          <t xml:space="preserve">Мужской</t>
        </is>
      </c>
      <c r="B328" t="inlineStr">
        <is>
          <t xml:space="preserve">Брюки</t>
        </is>
      </c>
      <c r="C328" t="inlineStr">
        <is>
          <t xml:space="preserve">Джоггеры хлопковые, коричневый</t>
        </is>
      </c>
      <c r="D328" t="inlineStr">
        <is>
          <t xml:space="preserve">PA32M04коричневый</t>
        </is>
      </c>
      <c r="E328" t="inlineStr">
        <is>
          <t xml:space="preserve">коричневый</t>
        </is>
      </c>
      <c r="F328" t="inlineStr">
        <is>
          <t xml:space="preserve">44</t>
        </is>
      </c>
      <c r="G328">
        <v>1</v>
      </c>
      <c r="H328" s="2">
        <v>50.0</v>
      </c>
      <c r="I328" t="inlineStr">
        <is>
          <t xml:space="preserve">Хлопок 98% эластан 2%</t>
        </is>
      </c>
      <c r="J328" t="inlineStr">
        <is>
          <t xml:space="preserve">демисезон</t>
        </is>
      </c>
      <c r="K328" t="inlineStr">
        <is>
          <t xml:space="preserve">Бангладеш</t>
        </is>
      </c>
      <c r="L328" t="inlineStr">
        <is>
          <t xml:space="preserve">6203423500</t>
        </is>
      </c>
      <c r="M328" t="inlineStr">
        <is>
          <t xml:space="preserve">по запросу</t>
        </is>
      </c>
      <c r="N328" t="inlineStr">
        <is>
          <t xml:space="preserve">38 × 30 × 2</t>
        </is>
      </c>
      <c r="O328" t="inlineStr">
        <is>
          <t xml:space="preserve">0,52</t>
        </is>
      </c>
      <c r="P328" t="inlineStr">
        <is>
          <t xml:space="preserve">2038096185767</t>
        </is>
      </c>
      <c r="Q328" s="3" t="str">
        <f>HYPERLINK("https://modify.by/img/197138085/1.webp","фото")</f>
        <v>фото</v>
      </c>
      <c r="R328" s="3" t="str">
        <f>HYPERLINK("https://modify.by/catalog/bryuki/197138085/?utm_source=price&amp;utm_medium=xlsx","открыть")</f>
        <v>открыть</v>
      </c>
    </row>
    <row r="329">
      <c r="A329" t="inlineStr">
        <is>
          <t xml:space="preserve">Мужской</t>
        </is>
      </c>
      <c r="B329" t="inlineStr">
        <is>
          <t xml:space="preserve">Брюки</t>
        </is>
      </c>
      <c r="C329" t="inlineStr">
        <is>
          <t xml:space="preserve">Джоггеры хлопковые, черный</t>
        </is>
      </c>
      <c r="D329" t="inlineStr">
        <is>
          <t xml:space="preserve">PA32M04черный</t>
        </is>
      </c>
      <c r="E329" t="inlineStr">
        <is>
          <t xml:space="preserve">черный</t>
        </is>
      </c>
      <c r="F329" t="inlineStr">
        <is>
          <t xml:space="preserve">44</t>
        </is>
      </c>
      <c r="G329">
        <v>1</v>
      </c>
      <c r="H329" s="2">
        <v>50.0</v>
      </c>
      <c r="I329" t="inlineStr">
        <is>
          <t xml:space="preserve">Хлопок 98% эластан 2%</t>
        </is>
      </c>
      <c r="J329" t="inlineStr">
        <is>
          <t xml:space="preserve">демисезон</t>
        </is>
      </c>
      <c r="K329" t="inlineStr">
        <is>
          <t xml:space="preserve">Бангладеш</t>
        </is>
      </c>
      <c r="L329" t="inlineStr">
        <is>
          <t xml:space="preserve">6203423500</t>
        </is>
      </c>
      <c r="M329" t="inlineStr">
        <is>
          <t xml:space="preserve">по запросу</t>
        </is>
      </c>
      <c r="N329" t="inlineStr">
        <is>
          <t xml:space="preserve">38 × 30 × 2</t>
        </is>
      </c>
      <c r="O329" t="inlineStr">
        <is>
          <t xml:space="preserve">0,52</t>
        </is>
      </c>
      <c r="P329" t="inlineStr">
        <is>
          <t xml:space="preserve">2038096185668</t>
        </is>
      </c>
      <c r="Q329" s="3" t="str">
        <f>HYPERLINK("https://modify.by/img/197138109/1.webp","фото")</f>
        <v>фото</v>
      </c>
      <c r="R329" s="3" t="str">
        <f>HYPERLINK("https://modify.by/catalog/bryuki/197138109/?utm_source=price&amp;utm_medium=xlsx","открыть")</f>
        <v>открыть</v>
      </c>
    </row>
    <row r="330">
      <c r="A330" t="inlineStr">
        <is>
          <t xml:space="preserve">Мужской</t>
        </is>
      </c>
      <c r="B330" t="inlineStr">
        <is>
          <t xml:space="preserve">Брюки</t>
        </is>
      </c>
      <c r="C330" t="inlineStr">
        <is>
          <t xml:space="preserve">Карго джоггеры джинсовые стрейч варенка</t>
        </is>
      </c>
      <c r="D330" t="inlineStr">
        <is>
          <t xml:space="preserve">PA32M03синий</t>
        </is>
      </c>
      <c r="E330" t="inlineStr">
        <is>
          <t xml:space="preserve">синий</t>
        </is>
      </c>
      <c r="F330" t="inlineStr">
        <is>
          <t xml:space="preserve">50</t>
        </is>
      </c>
      <c r="G330">
        <v>1</v>
      </c>
      <c r="H330" s="2">
        <v>56.0</v>
      </c>
      <c r="I330" t="inlineStr">
        <is>
          <t xml:space="preserve">Хлопок 98% Эластан 2%</t>
        </is>
      </c>
      <c r="J330" t="inlineStr">
        <is>
          <t xml:space="preserve">демисезон</t>
        </is>
      </c>
      <c r="K330" t="inlineStr">
        <is>
          <t xml:space="preserve">Бангладеш</t>
        </is>
      </c>
      <c r="L330" t="inlineStr">
        <is>
          <t xml:space="preserve">6203423500</t>
        </is>
      </c>
      <c r="M330" t="inlineStr">
        <is>
          <t xml:space="preserve">по запросу</t>
        </is>
      </c>
      <c r="N330" t="inlineStr">
        <is>
          <t xml:space="preserve">29 × 35 × 4</t>
        </is>
      </c>
      <c r="O330" t="inlineStr">
        <is>
          <t xml:space="preserve">0,49</t>
        </is>
      </c>
      <c r="P330" t="inlineStr">
        <is>
          <t xml:space="preserve">2038096185590</t>
        </is>
      </c>
      <c r="Q330" s="3" t="str">
        <f>HYPERLINK("https://modify.by/img/197138108/1.webp","фото")</f>
        <v>фото</v>
      </c>
      <c r="R330" s="3" t="str">
        <f>HYPERLINK("https://modify.by/catalog/bryuki/197138108/?utm_source=price&amp;utm_medium=xlsx","открыть")</f>
        <v>открыть</v>
      </c>
    </row>
    <row r="331">
      <c r="A331" t="inlineStr">
        <is>
          <t xml:space="preserve">Мужской</t>
        </is>
      </c>
      <c r="B331" t="inlineStr">
        <is>
          <t xml:space="preserve">Брюки</t>
        </is>
      </c>
      <c r="C331" t="inlineStr">
        <is>
          <t xml:space="preserve">Классические брюки чиносы</t>
        </is>
      </c>
      <c r="D331" t="inlineStr">
        <is>
          <t xml:space="preserve">CH02M2Серо-синий</t>
        </is>
      </c>
      <c r="E331" t="inlineStr">
        <is>
          <t xml:space="preserve">серо-синий</t>
        </is>
      </c>
      <c r="F331" t="inlineStr">
        <is>
          <t xml:space="preserve">58</t>
        </is>
      </c>
      <c r="G331">
        <v>1</v>
      </c>
      <c r="H331" s="2">
        <v>37.0</v>
      </c>
      <c r="I331" t="inlineStr">
        <is>
          <t xml:space="preserve">Хлопок 98%, Эластан 2%</t>
        </is>
      </c>
      <c r="J331" t="inlineStr">
        <is>
          <t xml:space="preserve">круглогодичный</t>
        </is>
      </c>
      <c r="K331" t="inlineStr">
        <is>
          <t xml:space="preserve">Бангладеш</t>
        </is>
      </c>
      <c r="L331" t="inlineStr">
        <is>
          <t xml:space="preserve">6203411000</t>
        </is>
      </c>
      <c r="M331" t="inlineStr">
        <is>
          <t xml:space="preserve">по запросу</t>
        </is>
      </c>
      <c r="N331"/>
      <c r="O331"/>
      <c r="P331" t="inlineStr">
        <is>
          <t xml:space="preserve">8595633659883</t>
        </is>
      </c>
      <c r="Q331" s="3" t="str">
        <f>HYPERLINK("https://modify.by/img/13645822/1.webp","фото")</f>
        <v>фото</v>
      </c>
      <c r="R331" s="3" t="str">
        <f>HYPERLINK("https://modify.by/catalog/bryuki/13645822/?utm_source=price&amp;utm_medium=xlsx","открыть")</f>
        <v>открыть</v>
      </c>
    </row>
    <row r="332">
      <c r="A332" t="inlineStr">
        <is>
          <t xml:space="preserve">Мужской</t>
        </is>
      </c>
      <c r="B332" t="inlineStr">
        <is>
          <t xml:space="preserve">Брюки</t>
        </is>
      </c>
      <c r="C332" t="inlineStr">
        <is>
          <t xml:space="preserve">Штаны домашние трикотажные трико</t>
        </is>
      </c>
      <c r="D332" t="inlineStr">
        <is>
          <t xml:space="preserve">T3PA52M04бежевый</t>
        </is>
      </c>
      <c r="E332" t="inlineStr">
        <is>
          <t xml:space="preserve">бежевый</t>
        </is>
      </c>
      <c r="F332" t="inlineStr">
        <is>
          <t xml:space="preserve">52</t>
        </is>
      </c>
      <c r="G332">
        <v>5</v>
      </c>
      <c r="H332" s="2">
        <v>45.0</v>
      </c>
      <c r="I332" t="inlineStr">
        <is>
          <t xml:space="preserve">100% полиэстер</t>
        </is>
      </c>
      <c r="J332" t="inlineStr">
        <is>
          <t xml:space="preserve">Демисезон</t>
        </is>
      </c>
      <c r="K332" t="inlineStr">
        <is>
          <t xml:space="preserve">Китай</t>
        </is>
      </c>
      <c r="L332" t="inlineStr">
        <is>
          <t xml:space="preserve">6103430001</t>
        </is>
      </c>
      <c r="M332" t="inlineStr">
        <is>
          <t xml:space="preserve">Декларация № ЕАЭС N RU Д-CN.РА02.В.44039/24, до 28.02.2029</t>
        </is>
      </c>
      <c r="N332" t="inlineStr">
        <is>
          <t xml:space="preserve">26 × 22 × 3</t>
        </is>
      </c>
      <c r="O332" t="inlineStr">
        <is>
          <t xml:space="preserve">0,38</t>
        </is>
      </c>
      <c r="P332" t="inlineStr">
        <is>
          <t xml:space="preserve">4816148167651</t>
        </is>
      </c>
      <c r="Q332" s="3" t="str">
        <f>HYPERLINK("https://modify.by/img/437243322/1.webp","фото")</f>
        <v>фото</v>
      </c>
      <c r="R332" s="3" t="str">
        <f>HYPERLINK("https://modify.by/catalog/bryuki/437243322/?utm_source=price&amp;utm_medium=xlsx","открыть")</f>
        <v>открыть</v>
      </c>
    </row>
    <row r="333">
      <c r="A333" t="inlineStr">
        <is>
          <t xml:space="preserve">Мужской</t>
        </is>
      </c>
      <c r="B333" t="inlineStr">
        <is>
          <t xml:space="preserve">Водолазки</t>
        </is>
      </c>
      <c r="C333" t="inlineStr">
        <is>
          <t xml:space="preserve">Водолазка классическая с горлом, бежевый</t>
        </is>
      </c>
      <c r="D333" t="inlineStr">
        <is>
          <t xml:space="preserve">SW42M09бежевый</t>
        </is>
      </c>
      <c r="E333" t="inlineStr">
        <is>
          <t xml:space="preserve">бежевый</t>
        </is>
      </c>
      <c r="F333" t="inlineStr">
        <is>
          <t xml:space="preserve">46</t>
        </is>
      </c>
      <c r="G333">
        <v>34</v>
      </c>
      <c r="H333" s="2">
        <v>26.0</v>
      </c>
      <c r="I333" t="inlineStr">
        <is>
          <t xml:space="preserve">100% хлопок</t>
        </is>
      </c>
      <c r="J333" t="inlineStr">
        <is>
          <t xml:space="preserve">демисезон</t>
        </is>
      </c>
      <c r="K333" t="inlineStr">
        <is>
          <t xml:space="preserve">Бангладеш</t>
        </is>
      </c>
      <c r="L333" t="inlineStr">
        <is>
          <t xml:space="preserve">6110209100</t>
        </is>
      </c>
      <c r="M333" t="inlineStr">
        <is>
          <t xml:space="preserve">Декларация № ЕАЭС № BY/112 11.01. ТР017 122.01 08246, до 19.04.2028</t>
        </is>
      </c>
      <c r="N333" t="inlineStr">
        <is>
          <t xml:space="preserve">27 × 34 × 3</t>
        </is>
      </c>
      <c r="O333" t="inlineStr">
        <is>
          <t xml:space="preserve">0,36</t>
        </is>
      </c>
      <c r="P333" t="inlineStr">
        <is>
          <t xml:space="preserve">4816148137043</t>
        </is>
      </c>
      <c r="Q333" s="3" t="str">
        <f>HYPERLINK("https://modify.by/img/258242643/1.webp","фото")</f>
        <v>фото</v>
      </c>
      <c r="R333" s="3" t="str">
        <f>HYPERLINK("https://modify.by/catalog/vodolazki/258242643/?utm_source=price&amp;utm_medium=xlsx","открыть")</f>
        <v>открыть</v>
      </c>
    </row>
    <row r="334">
      <c r="A334" t="inlineStr">
        <is>
          <t xml:space="preserve">Мужской</t>
        </is>
      </c>
      <c r="B334" t="inlineStr">
        <is>
          <t xml:space="preserve">Водолазки</t>
        </is>
      </c>
      <c r="C334" t="inlineStr">
        <is>
          <t xml:space="preserve">Водолазка классическая с горлом, бежевый меланж</t>
        </is>
      </c>
      <c r="D334" t="inlineStr">
        <is>
          <t xml:space="preserve">SW42M09бежевый меланж</t>
        </is>
      </c>
      <c r="E334" t="inlineStr">
        <is>
          <t xml:space="preserve">бежевый меланж</t>
        </is>
      </c>
      <c r="F334" t="inlineStr">
        <is>
          <t xml:space="preserve">48</t>
        </is>
      </c>
      <c r="G334">
        <v>3</v>
      </c>
      <c r="H334" s="2">
        <v>26.0</v>
      </c>
      <c r="I334" t="inlineStr">
        <is>
          <t xml:space="preserve">100% хлопок</t>
        </is>
      </c>
      <c r="J334" t="inlineStr">
        <is>
          <t xml:space="preserve">демисезон</t>
        </is>
      </c>
      <c r="K334" t="inlineStr">
        <is>
          <t xml:space="preserve">Бангладеш</t>
        </is>
      </c>
      <c r="L334" t="inlineStr">
        <is>
          <t xml:space="preserve">6110209100</t>
        </is>
      </c>
      <c r="M334" t="inlineStr">
        <is>
          <t xml:space="preserve">Декларация № ЕАЭС № BY/112 11.01. ТР017 122.01 08246, до 19.04.2028</t>
        </is>
      </c>
      <c r="N334" t="inlineStr">
        <is>
          <t xml:space="preserve">36 × 25 × 2</t>
        </is>
      </c>
      <c r="O334" t="inlineStr">
        <is>
          <t xml:space="preserve">0,36</t>
        </is>
      </c>
      <c r="P334" t="inlineStr">
        <is>
          <t xml:space="preserve">4816148137104</t>
        </is>
      </c>
      <c r="Q334" s="3" t="str">
        <f>HYPERLINK("https://modify.by/img/258242644/1.webp","фото")</f>
        <v>фото</v>
      </c>
      <c r="R334" s="3" t="str">
        <f>HYPERLINK("https://modify.by/catalog/vodolazki/258242644/?utm_source=price&amp;utm_medium=xlsx","открыть")</f>
        <v>открыть</v>
      </c>
    </row>
    <row r="335">
      <c r="A335" t="inlineStr">
        <is>
          <t xml:space="preserve">Мужской</t>
        </is>
      </c>
      <c r="B335" t="inlineStr">
        <is>
          <t xml:space="preserve">Водолазки</t>
        </is>
      </c>
      <c r="C335" t="inlineStr">
        <is>
          <t xml:space="preserve">Водолазка классическая с горлом, кофейный</t>
        </is>
      </c>
      <c r="D335" t="inlineStr">
        <is>
          <t xml:space="preserve">SW42M09кофейный</t>
        </is>
      </c>
      <c r="E335" t="inlineStr">
        <is>
          <t xml:space="preserve">кофейный</t>
        </is>
      </c>
      <c r="F335" t="inlineStr">
        <is>
          <t xml:space="preserve">46</t>
        </is>
      </c>
      <c r="G335">
        <v>6</v>
      </c>
      <c r="H335" s="2">
        <v>26.0</v>
      </c>
      <c r="I335" t="inlineStr">
        <is>
          <t xml:space="preserve">100% хлопок</t>
        </is>
      </c>
      <c r="J335" t="inlineStr">
        <is>
          <t xml:space="preserve">демисезон</t>
        </is>
      </c>
      <c r="K335" t="inlineStr">
        <is>
          <t xml:space="preserve">Бангладеш</t>
        </is>
      </c>
      <c r="L335" t="inlineStr">
        <is>
          <t xml:space="preserve">6110209100</t>
        </is>
      </c>
      <c r="M335" t="inlineStr">
        <is>
          <t xml:space="preserve">Декларация № ЕАЭС № BY/112 11.01. ТР017 122.01 08246, до 19.04.2028</t>
        </is>
      </c>
      <c r="N335" t="inlineStr">
        <is>
          <t xml:space="preserve">36 × 25 × 2</t>
        </is>
      </c>
      <c r="O335" t="inlineStr">
        <is>
          <t xml:space="preserve">0,36</t>
        </is>
      </c>
      <c r="P335" t="inlineStr">
        <is>
          <t xml:space="preserve">4816148137296</t>
        </is>
      </c>
      <c r="Q335" s="3" t="str">
        <f>HYPERLINK("https://modify.by/img/258242649/1.webp","фото")</f>
        <v>фото</v>
      </c>
      <c r="R335" s="3" t="str">
        <f>HYPERLINK("https://modify.by/catalog/vodolazki/258242649/?utm_source=price&amp;utm_medium=xlsx","открыть")</f>
        <v>открыть</v>
      </c>
    </row>
    <row r="336">
      <c r="A336" t="inlineStr">
        <is>
          <t xml:space="preserve">Мужской</t>
        </is>
      </c>
      <c r="B336" t="inlineStr">
        <is>
          <t xml:space="preserve">Водолазки</t>
        </is>
      </c>
      <c r="C336" t="inlineStr">
        <is>
          <t xml:space="preserve">Водолазка классическая с горлом, оливковый</t>
        </is>
      </c>
      <c r="D336" t="inlineStr">
        <is>
          <t xml:space="preserve">SW42M09светло-зеленый</t>
        </is>
      </c>
      <c r="E336" t="inlineStr">
        <is>
          <t xml:space="preserve">оливковый, светло-зеленый</t>
        </is>
      </c>
      <c r="F336" t="inlineStr">
        <is>
          <t xml:space="preserve">46</t>
        </is>
      </c>
      <c r="G336">
        <v>17</v>
      </c>
      <c r="H336" s="2">
        <v>26.0</v>
      </c>
      <c r="I336" t="inlineStr">
        <is>
          <t xml:space="preserve">100% хлопок</t>
        </is>
      </c>
      <c r="J336" t="inlineStr">
        <is>
          <t xml:space="preserve">демисезон</t>
        </is>
      </c>
      <c r="K336" t="inlineStr">
        <is>
          <t xml:space="preserve">Бангладеш</t>
        </is>
      </c>
      <c r="L336" t="inlineStr">
        <is>
          <t xml:space="preserve">6110209100</t>
        </is>
      </c>
      <c r="M336" t="inlineStr">
        <is>
          <t xml:space="preserve">Декларация № ЕАЭС № BY/112 11.01. ТР017 122.01 08246, до 19.04.2028</t>
        </is>
      </c>
      <c r="N336" t="inlineStr">
        <is>
          <t xml:space="preserve">36 × 25 × 2</t>
        </is>
      </c>
      <c r="O336" t="inlineStr">
        <is>
          <t xml:space="preserve">0,36</t>
        </is>
      </c>
      <c r="P336" t="inlineStr">
        <is>
          <t xml:space="preserve">4816148137142</t>
        </is>
      </c>
      <c r="Q336" s="3" t="str">
        <f>HYPERLINK("https://modify.by/img/258242645/1.webp","фото")</f>
        <v>фото</v>
      </c>
      <c r="R336" s="3" t="str">
        <f>HYPERLINK("https://modify.by/catalog/vodolazki/258242645/?utm_source=price&amp;utm_medium=xlsx","открыть")</f>
        <v>открыть</v>
      </c>
    </row>
    <row r="337">
      <c r="A337" t="inlineStr">
        <is>
          <t xml:space="preserve">Мужской</t>
        </is>
      </c>
      <c r="B337" t="inlineStr">
        <is>
          <t xml:space="preserve">Водолазки</t>
        </is>
      </c>
      <c r="C337" t="inlineStr">
        <is>
          <t xml:space="preserve">Водолазка классическая с горлом, оливковый</t>
        </is>
      </c>
      <c r="D337" t="inlineStr">
        <is>
          <t xml:space="preserve">SW42M09светло-зеленый</t>
        </is>
      </c>
      <c r="E337" t="inlineStr">
        <is>
          <t xml:space="preserve">оливковый, светло-зеленый</t>
        </is>
      </c>
      <c r="F337" t="inlineStr">
        <is>
          <t xml:space="preserve">48</t>
        </is>
      </c>
      <c r="G337">
        <v>49</v>
      </c>
      <c r="H337" s="2">
        <v>26.0</v>
      </c>
      <c r="I337" t="inlineStr">
        <is>
          <t xml:space="preserve">100% хлопок</t>
        </is>
      </c>
      <c r="J337" t="inlineStr">
        <is>
          <t xml:space="preserve">демисезон</t>
        </is>
      </c>
      <c r="K337" t="inlineStr">
        <is>
          <t xml:space="preserve">Бангладеш</t>
        </is>
      </c>
      <c r="L337" t="inlineStr">
        <is>
          <t xml:space="preserve">6110209100</t>
        </is>
      </c>
      <c r="M337" t="inlineStr">
        <is>
          <t xml:space="preserve">Декларация № ЕАЭС № BY/112 11.01. ТР017 122.01 08246, до 19.04.2028</t>
        </is>
      </c>
      <c r="N337" t="inlineStr">
        <is>
          <t xml:space="preserve">36 × 25 × 2</t>
        </is>
      </c>
      <c r="O337" t="inlineStr">
        <is>
          <t xml:space="preserve">0,36</t>
        </is>
      </c>
      <c r="P337" t="inlineStr">
        <is>
          <t xml:space="preserve">4816148137159</t>
        </is>
      </c>
      <c r="Q337" s="3" t="str">
        <f>HYPERLINK("https://modify.by/img/258242645/1.webp","фото")</f>
        <v>фото</v>
      </c>
      <c r="R337" s="3" t="str">
        <f>HYPERLINK("https://modify.by/catalog/vodolazki/258242645/?utm_source=price&amp;utm_medium=xlsx","открыть")</f>
        <v>открыть</v>
      </c>
    </row>
    <row r="338">
      <c r="A338" t="inlineStr">
        <is>
          <t xml:space="preserve">Мужской</t>
        </is>
      </c>
      <c r="B338" t="inlineStr">
        <is>
          <t xml:space="preserve">Водолазки</t>
        </is>
      </c>
      <c r="C338" t="inlineStr">
        <is>
          <t xml:space="preserve">Водолазка тонкая базовая хлопок, бежевый</t>
        </is>
      </c>
      <c r="D338" t="inlineStr">
        <is>
          <t xml:space="preserve">SW32M40Бежевый</t>
        </is>
      </c>
      <c r="E338" t="inlineStr">
        <is>
          <t xml:space="preserve">бежевый</t>
        </is>
      </c>
      <c r="F338" t="inlineStr">
        <is>
          <t xml:space="preserve">46</t>
        </is>
      </c>
      <c r="G338">
        <v>18</v>
      </c>
      <c r="H338" s="2">
        <v>27.0</v>
      </c>
      <c r="I338" t="inlineStr">
        <is>
          <t xml:space="preserve">хлопок 100%</t>
        </is>
      </c>
      <c r="J338" t="inlineStr">
        <is>
          <t xml:space="preserve">демисезон</t>
        </is>
      </c>
      <c r="K338" t="inlineStr">
        <is>
          <t xml:space="preserve">Бангладеш</t>
        </is>
      </c>
      <c r="L338" t="inlineStr">
        <is>
          <t xml:space="preserve">6110209100</t>
        </is>
      </c>
      <c r="M338" t="inlineStr">
        <is>
          <t xml:space="preserve">Декларация № ЕАЭС № BY/112 11.01. ТР017 122.01 08246, до 19.04.2028</t>
        </is>
      </c>
      <c r="N338" t="inlineStr">
        <is>
          <t xml:space="preserve">39 × 30 × 2</t>
        </is>
      </c>
      <c r="O338" t="inlineStr">
        <is>
          <t xml:space="preserve">0,32</t>
        </is>
      </c>
      <c r="P338" t="inlineStr">
        <is>
          <t xml:space="preserve">2038096174297</t>
        </is>
      </c>
      <c r="Q338" s="3" t="str">
        <f>HYPERLINK("https://modify.by/img/181382953/1.webp","фото")</f>
        <v>фото</v>
      </c>
      <c r="R338" s="3" t="str">
        <f>HYPERLINK("https://modify.by/catalog/vodolazki/181382953/?utm_source=price&amp;utm_medium=xlsx","открыть")</f>
        <v>открыть</v>
      </c>
    </row>
    <row r="339">
      <c r="A339" t="inlineStr">
        <is>
          <t xml:space="preserve">Мужской</t>
        </is>
      </c>
      <c r="B339" t="inlineStr">
        <is>
          <t xml:space="preserve">Водолазки</t>
        </is>
      </c>
      <c r="C339" t="inlineStr">
        <is>
          <t xml:space="preserve">Водолазка тонкая базовая хлопок, бежевый</t>
        </is>
      </c>
      <c r="D339" t="inlineStr">
        <is>
          <t xml:space="preserve">SW32M40Бежевый</t>
        </is>
      </c>
      <c r="E339" t="inlineStr">
        <is>
          <t xml:space="preserve">бежевый</t>
        </is>
      </c>
      <c r="F339" t="inlineStr">
        <is>
          <t xml:space="preserve">46</t>
        </is>
      </c>
      <c r="G339">
        <v>18</v>
      </c>
      <c r="H339" s="2">
        <v>27.0</v>
      </c>
      <c r="I339" t="inlineStr">
        <is>
          <t xml:space="preserve">хлопок 100%</t>
        </is>
      </c>
      <c r="J339" t="inlineStr">
        <is>
          <t xml:space="preserve">демисезон</t>
        </is>
      </c>
      <c r="K339" t="inlineStr">
        <is>
          <t xml:space="preserve">Бангладеш</t>
        </is>
      </c>
      <c r="L339" t="inlineStr">
        <is>
          <t xml:space="preserve">6110209100</t>
        </is>
      </c>
      <c r="M339" t="inlineStr">
        <is>
          <t xml:space="preserve">Декларация № ЕАЭС № BY/112 11.01. ТР017 122.01 08246, до 19.04.2028</t>
        </is>
      </c>
      <c r="N339" t="inlineStr">
        <is>
          <t xml:space="preserve">39 × 30 × 2</t>
        </is>
      </c>
      <c r="O339" t="inlineStr">
        <is>
          <t xml:space="preserve">0,32</t>
        </is>
      </c>
      <c r="P339" t="inlineStr">
        <is>
          <t xml:space="preserve">4816148116451</t>
        </is>
      </c>
      <c r="Q339" s="3" t="str">
        <f>HYPERLINK("https://modify.by/img/181382953/1.webp","фото")</f>
        <v>фото</v>
      </c>
      <c r="R339" s="3" t="str">
        <f>HYPERLINK("https://modify.by/catalog/vodolazki/181382953/?utm_source=price&amp;utm_medium=xlsx","открыть")</f>
        <v>открыть</v>
      </c>
    </row>
    <row r="340">
      <c r="A340" t="inlineStr">
        <is>
          <t xml:space="preserve">Мужской</t>
        </is>
      </c>
      <c r="B340" t="inlineStr">
        <is>
          <t xml:space="preserve">Водолазки</t>
        </is>
      </c>
      <c r="C340" t="inlineStr">
        <is>
          <t xml:space="preserve">Водолазка тонкая базовая хлопок, серый</t>
        </is>
      </c>
      <c r="D340" t="inlineStr">
        <is>
          <t xml:space="preserve">SW32M40Серый</t>
        </is>
      </c>
      <c r="E340" t="inlineStr">
        <is>
          <t xml:space="preserve">серый</t>
        </is>
      </c>
      <c r="F340" t="inlineStr">
        <is>
          <t xml:space="preserve">46</t>
        </is>
      </c>
      <c r="G340">
        <v>4</v>
      </c>
      <c r="H340" s="2">
        <v>27.0</v>
      </c>
      <c r="I340" t="inlineStr">
        <is>
          <t xml:space="preserve">хлопок 100%</t>
        </is>
      </c>
      <c r="J340" t="inlineStr">
        <is>
          <t xml:space="preserve">демисезон</t>
        </is>
      </c>
      <c r="K340" t="inlineStr">
        <is>
          <t xml:space="preserve">Бангладеш</t>
        </is>
      </c>
      <c r="L340" t="inlineStr">
        <is>
          <t xml:space="preserve">6110209100</t>
        </is>
      </c>
      <c r="M340" t="inlineStr">
        <is>
          <t xml:space="preserve">Декларация № ЕАЭС № BY/112 11.01. ТР017 122.01 08246, до 19.04.2028</t>
        </is>
      </c>
      <c r="N340" t="inlineStr">
        <is>
          <t xml:space="preserve">39 × 30 × 2</t>
        </is>
      </c>
      <c r="O340" t="inlineStr">
        <is>
          <t xml:space="preserve">0,32</t>
        </is>
      </c>
      <c r="P340" t="inlineStr">
        <is>
          <t xml:space="preserve">2038096174341</t>
        </is>
      </c>
      <c r="Q340" s="3" t="str">
        <f>HYPERLINK("https://modify.by/img/181382949/1.webp","фото")</f>
        <v>фото</v>
      </c>
      <c r="R340" s="3" t="str">
        <f>HYPERLINK("https://modify.by/catalog/vodolazki/181382949/?utm_source=price&amp;utm_medium=xlsx","открыть")</f>
        <v>открыть</v>
      </c>
    </row>
    <row r="341">
      <c r="A341" t="inlineStr">
        <is>
          <t xml:space="preserve">Мужской</t>
        </is>
      </c>
      <c r="B341" t="inlineStr">
        <is>
          <t xml:space="preserve">Водолазки</t>
        </is>
      </c>
      <c r="C341" t="inlineStr">
        <is>
          <t xml:space="preserve">Водолазка тонкая базовая хлопок, серый</t>
        </is>
      </c>
      <c r="D341" t="inlineStr">
        <is>
          <t xml:space="preserve">SW32M40Серый</t>
        </is>
      </c>
      <c r="E341" t="inlineStr">
        <is>
          <t xml:space="preserve">серый</t>
        </is>
      </c>
      <c r="F341" t="inlineStr">
        <is>
          <t xml:space="preserve">46</t>
        </is>
      </c>
      <c r="G341">
        <v>4</v>
      </c>
      <c r="H341" s="2">
        <v>27.0</v>
      </c>
      <c r="I341" t="inlineStr">
        <is>
          <t xml:space="preserve">хлопок 100%</t>
        </is>
      </c>
      <c r="J341" t="inlineStr">
        <is>
          <t xml:space="preserve">демисезон</t>
        </is>
      </c>
      <c r="K341" t="inlineStr">
        <is>
          <t xml:space="preserve">Бангладеш</t>
        </is>
      </c>
      <c r="L341" t="inlineStr">
        <is>
          <t xml:space="preserve">6110209100</t>
        </is>
      </c>
      <c r="M341" t="inlineStr">
        <is>
          <t xml:space="preserve">Декларация № ЕАЭС № BY/112 11.01. ТР017 122.01 08246, до 19.04.2028</t>
        </is>
      </c>
      <c r="N341" t="inlineStr">
        <is>
          <t xml:space="preserve">39 × 30 × 2</t>
        </is>
      </c>
      <c r="O341" t="inlineStr">
        <is>
          <t xml:space="preserve">0,32</t>
        </is>
      </c>
      <c r="P341" t="inlineStr">
        <is>
          <t xml:space="preserve">4816148116505</t>
        </is>
      </c>
      <c r="Q341" s="3" t="str">
        <f>HYPERLINK("https://modify.by/img/181382949/1.webp","фото")</f>
        <v>фото</v>
      </c>
      <c r="R341" s="3" t="str">
        <f>HYPERLINK("https://modify.by/catalog/vodolazki/181382949/?utm_source=price&amp;utm_medium=xlsx","открыть")</f>
        <v>открыть</v>
      </c>
    </row>
    <row r="342">
      <c r="A342" t="inlineStr">
        <is>
          <t xml:space="preserve">Мужской</t>
        </is>
      </c>
      <c r="B342" t="inlineStr">
        <is>
          <t xml:space="preserve">Водолазки</t>
        </is>
      </c>
      <c r="C342" t="inlineStr">
        <is>
          <t xml:space="preserve">Водолазка тонкая базовая хлопок, синий</t>
        </is>
      </c>
      <c r="D342" t="inlineStr">
        <is>
          <t xml:space="preserve">SW32M40Синий</t>
        </is>
      </c>
      <c r="E342" t="inlineStr">
        <is>
          <t xml:space="preserve">синий</t>
        </is>
      </c>
      <c r="F342" t="inlineStr">
        <is>
          <t xml:space="preserve">46</t>
        </is>
      </c>
      <c r="G342">
        <v>16</v>
      </c>
      <c r="H342" s="2">
        <v>27.0</v>
      </c>
      <c r="I342" t="inlineStr">
        <is>
          <t xml:space="preserve">хлопок 100%</t>
        </is>
      </c>
      <c r="J342" t="inlineStr">
        <is>
          <t xml:space="preserve">демисезон</t>
        </is>
      </c>
      <c r="K342" t="inlineStr">
        <is>
          <t xml:space="preserve">Бангладеш</t>
        </is>
      </c>
      <c r="L342" t="inlineStr">
        <is>
          <t xml:space="preserve">6110209100</t>
        </is>
      </c>
      <c r="M342" t="inlineStr">
        <is>
          <t xml:space="preserve">Декларация № ЕАЭС № BY/112 11.01. ТР017 122.01 08246, до 19.04.2028</t>
        </is>
      </c>
      <c r="N342" t="inlineStr">
        <is>
          <t xml:space="preserve">39 × 30 × 2</t>
        </is>
      </c>
      <c r="O342" t="inlineStr">
        <is>
          <t xml:space="preserve">0,32</t>
        </is>
      </c>
      <c r="P342" t="inlineStr">
        <is>
          <t xml:space="preserve">2038096174693</t>
        </is>
      </c>
      <c r="Q342" s="3" t="str">
        <f>HYPERLINK("https://modify.by/img/181382948/1.webp","фото")</f>
        <v>фото</v>
      </c>
      <c r="R342" s="3" t="str">
        <f>HYPERLINK("https://modify.by/catalog/vodolazki/181382948/?utm_source=price&amp;utm_medium=xlsx","открыть")</f>
        <v>открыть</v>
      </c>
    </row>
    <row r="343">
      <c r="A343" t="inlineStr">
        <is>
          <t xml:space="preserve">Мужской</t>
        </is>
      </c>
      <c r="B343" t="inlineStr">
        <is>
          <t xml:space="preserve">Водолазки</t>
        </is>
      </c>
      <c r="C343" t="inlineStr">
        <is>
          <t xml:space="preserve">Водолазка тонкая базовая хлопок, синий</t>
        </is>
      </c>
      <c r="D343" t="inlineStr">
        <is>
          <t xml:space="preserve">SW32M40Синий</t>
        </is>
      </c>
      <c r="E343" t="inlineStr">
        <is>
          <t xml:space="preserve">синий</t>
        </is>
      </c>
      <c r="F343" t="inlineStr">
        <is>
          <t xml:space="preserve">46</t>
        </is>
      </c>
      <c r="G343">
        <v>16</v>
      </c>
      <c r="H343" s="2">
        <v>27.0</v>
      </c>
      <c r="I343" t="inlineStr">
        <is>
          <t xml:space="preserve">хлопок 100%</t>
        </is>
      </c>
      <c r="J343" t="inlineStr">
        <is>
          <t xml:space="preserve">демисезон</t>
        </is>
      </c>
      <c r="K343" t="inlineStr">
        <is>
          <t xml:space="preserve">Бангладеш</t>
        </is>
      </c>
      <c r="L343" t="inlineStr">
        <is>
          <t xml:space="preserve">6110209100</t>
        </is>
      </c>
      <c r="M343" t="inlineStr">
        <is>
          <t xml:space="preserve">Декларация № ЕАЭС № BY/112 11.01. ТР017 122.01 08246, до 19.04.2028</t>
        </is>
      </c>
      <c r="N343" t="inlineStr">
        <is>
          <t xml:space="preserve">39 × 30 × 2</t>
        </is>
      </c>
      <c r="O343" t="inlineStr">
        <is>
          <t xml:space="preserve">0,32</t>
        </is>
      </c>
      <c r="P343" t="inlineStr">
        <is>
          <t xml:space="preserve">4816148116536</t>
        </is>
      </c>
      <c r="Q343" s="3" t="str">
        <f>HYPERLINK("https://modify.by/img/181382948/1.webp","фото")</f>
        <v>фото</v>
      </c>
      <c r="R343" s="3" t="str">
        <f>HYPERLINK("https://modify.by/catalog/vodolazki/181382948/?utm_source=price&amp;utm_medium=xlsx","открыть")</f>
        <v>открыть</v>
      </c>
    </row>
    <row r="344">
      <c r="A344" t="inlineStr">
        <is>
          <t xml:space="preserve">Мужской</t>
        </is>
      </c>
      <c r="B344" t="inlineStr">
        <is>
          <t xml:space="preserve">Джемперы</t>
        </is>
      </c>
      <c r="C344" t="inlineStr">
        <is>
          <t xml:space="preserve">Джемпер базовый офисный хлопковый</t>
        </is>
      </c>
      <c r="D344" t="inlineStr">
        <is>
          <t xml:space="preserve">SW42M08черный</t>
        </is>
      </c>
      <c r="E344" t="inlineStr">
        <is>
          <t xml:space="preserve">черный</t>
        </is>
      </c>
      <c r="F344" t="inlineStr">
        <is>
          <t xml:space="preserve">56</t>
        </is>
      </c>
      <c r="G344">
        <v>81</v>
      </c>
      <c r="H344" s="2">
        <v>33.0</v>
      </c>
      <c r="I344" t="inlineStr">
        <is>
          <t xml:space="preserve">100% хлопок</t>
        </is>
      </c>
      <c r="J344" t="inlineStr">
        <is>
          <t xml:space="preserve">демисезон</t>
        </is>
      </c>
      <c r="K344" t="inlineStr">
        <is>
          <t xml:space="preserve">Бангладеш</t>
        </is>
      </c>
      <c r="L344" t="inlineStr">
        <is>
          <t xml:space="preserve">6110309100</t>
        </is>
      </c>
      <c r="M344" t="inlineStr">
        <is>
          <t xml:space="preserve">Декларация № ЕАЭС № BY/112 11.01. ТР017 122.01 08246, до 19.04.2028</t>
        </is>
      </c>
      <c r="N344" t="inlineStr">
        <is>
          <t xml:space="preserve">35 × 25 × 2</t>
        </is>
      </c>
      <c r="O344" t="inlineStr">
        <is>
          <t xml:space="preserve">0,2</t>
        </is>
      </c>
      <c r="P344" t="inlineStr">
        <is>
          <t xml:space="preserve">4816148147400</t>
        </is>
      </c>
      <c r="Q344" s="3" t="str">
        <f>HYPERLINK("https://modify.by/img/258242633/1.webp","фото")</f>
        <v>фото</v>
      </c>
      <c r="R344" s="3" t="str">
        <f>HYPERLINK("https://modify.by/catalog/dzhempery/258242633/?utm_source=price&amp;utm_medium=xlsx","открыть")</f>
        <v>открыть</v>
      </c>
    </row>
    <row r="345">
      <c r="A345" t="inlineStr">
        <is>
          <t xml:space="preserve">Мужской</t>
        </is>
      </c>
      <c r="B345" t="inlineStr">
        <is>
          <t xml:space="preserve">Джемперы</t>
        </is>
      </c>
      <c r="C345" t="inlineStr">
        <is>
          <t xml:space="preserve">Джемпер базовый теплый хлопковый</t>
        </is>
      </c>
      <c r="D345" t="inlineStr">
        <is>
          <t xml:space="preserve">SW32M22Серый</t>
        </is>
      </c>
      <c r="E345" t="inlineStr">
        <is>
          <t xml:space="preserve">серый</t>
        </is>
      </c>
      <c r="F345" t="inlineStr">
        <is>
          <t xml:space="preserve">56</t>
        </is>
      </c>
      <c r="G345">
        <v>23</v>
      </c>
      <c r="H345" s="2">
        <v>33.0</v>
      </c>
      <c r="I345" t="inlineStr">
        <is>
          <t xml:space="preserve">хлопок 100%</t>
        </is>
      </c>
      <c r="J345"/>
      <c r="K345" t="inlineStr">
        <is>
          <t xml:space="preserve">Бангладеш</t>
        </is>
      </c>
      <c r="L345" t="inlineStr">
        <is>
          <t xml:space="preserve">6110209100</t>
        </is>
      </c>
      <c r="M345" t="inlineStr">
        <is>
          <t xml:space="preserve">Декларация № ЕАЭС № BY/112 11.01. ТР017 122.01 08246, до 19.04.2028</t>
        </is>
      </c>
      <c r="N345" t="inlineStr">
        <is>
          <t xml:space="preserve">35 × 30 × 4</t>
        </is>
      </c>
      <c r="O345" t="inlineStr">
        <is>
          <t xml:space="preserve">0,37</t>
        </is>
      </c>
      <c r="P345" t="inlineStr">
        <is>
          <t xml:space="preserve">2026620748878</t>
        </is>
      </c>
      <c r="Q345" s="3" t="str">
        <f>HYPERLINK("https://modify.by/img/164145369/1.webp","фото")</f>
        <v>фото</v>
      </c>
      <c r="R345" s="3" t="str">
        <f>HYPERLINK("https://modify.by/catalog/dzhempery/164145369/?utm_source=price&amp;utm_medium=xlsx","открыть")</f>
        <v>открыть</v>
      </c>
    </row>
    <row r="346">
      <c r="A346" t="inlineStr">
        <is>
          <t xml:space="preserve">Мужской</t>
        </is>
      </c>
      <c r="B346" t="inlineStr">
        <is>
          <t xml:space="preserve">Джемперы</t>
        </is>
      </c>
      <c r="C346" t="inlineStr">
        <is>
          <t xml:space="preserve">Джемпер базовый теплый хлопковый</t>
        </is>
      </c>
      <c r="D346" t="inlineStr">
        <is>
          <t xml:space="preserve">SW32M22Серый</t>
        </is>
      </c>
      <c r="E346" t="inlineStr">
        <is>
          <t xml:space="preserve">серый</t>
        </is>
      </c>
      <c r="F346" t="inlineStr">
        <is>
          <t xml:space="preserve">56</t>
        </is>
      </c>
      <c r="G346">
        <v>23</v>
      </c>
      <c r="H346" s="2">
        <v>33.0</v>
      </c>
      <c r="I346" t="inlineStr">
        <is>
          <t xml:space="preserve">хлопок 100%</t>
        </is>
      </c>
      <c r="J346"/>
      <c r="K346" t="inlineStr">
        <is>
          <t xml:space="preserve">Бангладеш</t>
        </is>
      </c>
      <c r="L346" t="inlineStr">
        <is>
          <t xml:space="preserve">6110209100</t>
        </is>
      </c>
      <c r="M346" t="inlineStr">
        <is>
          <t xml:space="preserve">Декларация № ЕАЭС № BY/112 11.01. ТР017 122.01 08246, до 19.04.2028</t>
        </is>
      </c>
      <c r="N346" t="inlineStr">
        <is>
          <t xml:space="preserve">35 × 30 × 4</t>
        </is>
      </c>
      <c r="O346" t="inlineStr">
        <is>
          <t xml:space="preserve">0,37</t>
        </is>
      </c>
      <c r="P346" t="inlineStr">
        <is>
          <t xml:space="preserve">4816148139603</t>
        </is>
      </c>
      <c r="Q346" s="3" t="str">
        <f>HYPERLINK("https://modify.by/img/164145369/1.webp","фото")</f>
        <v>фото</v>
      </c>
      <c r="R346" s="3" t="str">
        <f>HYPERLINK("https://modify.by/catalog/dzhempery/164145369/?utm_source=price&amp;utm_medium=xlsx","открыть")</f>
        <v>открыть</v>
      </c>
    </row>
    <row r="347">
      <c r="A347" t="inlineStr">
        <is>
          <t xml:space="preserve">Мужской</t>
        </is>
      </c>
      <c r="B347" t="inlineStr">
        <is>
          <t xml:space="preserve">Джемперы</t>
        </is>
      </c>
      <c r="C347" t="inlineStr">
        <is>
          <t xml:space="preserve">Джемпер с высоким горлом на молнии</t>
        </is>
      </c>
      <c r="D347" t="inlineStr">
        <is>
          <t xml:space="preserve">SW32M371черный</t>
        </is>
      </c>
      <c r="E347" t="inlineStr">
        <is>
          <t xml:space="preserve">черный</t>
        </is>
      </c>
      <c r="F347" t="inlineStr">
        <is>
          <t xml:space="preserve">52</t>
        </is>
      </c>
      <c r="G347">
        <v>1</v>
      </c>
      <c r="H347" s="2">
        <v>42.0</v>
      </c>
      <c r="I347" t="inlineStr">
        <is>
          <t xml:space="preserve">100% хлопок</t>
        </is>
      </c>
      <c r="J347" t="inlineStr">
        <is>
          <t xml:space="preserve">Демисезон</t>
        </is>
      </c>
      <c r="K347" t="inlineStr">
        <is>
          <t xml:space="preserve">Бангладеш</t>
        </is>
      </c>
      <c r="L347" t="inlineStr">
        <is>
          <t xml:space="preserve">6110209100</t>
        </is>
      </c>
      <c r="M347" t="inlineStr">
        <is>
          <t xml:space="preserve">Декларация № ЕАЭС № BY/112 11.01. ТР017 122.01 08246, до 19.04.2028</t>
        </is>
      </c>
      <c r="N347" t="inlineStr">
        <is>
          <t xml:space="preserve">35 × 28 × 3</t>
        </is>
      </c>
      <c r="O347" t="inlineStr">
        <is>
          <t xml:space="preserve">0,41</t>
        </is>
      </c>
      <c r="P347" t="inlineStr">
        <is>
          <t xml:space="preserve">2038096180328</t>
        </is>
      </c>
      <c r="Q347" s="3" t="str">
        <f>HYPERLINK("https://modify.by/img/182987720/1.webp","фото")</f>
        <v>фото</v>
      </c>
      <c r="R347" s="3" t="str">
        <f>HYPERLINK("https://modify.by/catalog/dzhempery/182987720/?utm_source=price&amp;utm_medium=xlsx","открыть")</f>
        <v>открыть</v>
      </c>
    </row>
    <row r="348">
      <c r="A348" t="inlineStr">
        <is>
          <t xml:space="preserve">Мужской</t>
        </is>
      </c>
      <c r="B348" t="inlineStr">
        <is>
          <t xml:space="preserve">Джемперы</t>
        </is>
      </c>
      <c r="C348" t="inlineStr">
        <is>
          <t xml:space="preserve">Джемпер с высоким горлом на молнии</t>
        </is>
      </c>
      <c r="D348" t="inlineStr">
        <is>
          <t xml:space="preserve">SW32M371черный</t>
        </is>
      </c>
      <c r="E348" t="inlineStr">
        <is>
          <t xml:space="preserve">черный</t>
        </is>
      </c>
      <c r="F348" t="inlineStr">
        <is>
          <t xml:space="preserve">52</t>
        </is>
      </c>
      <c r="G348">
        <v>1</v>
      </c>
      <c r="H348" s="2">
        <v>42.0</v>
      </c>
      <c r="I348" t="inlineStr">
        <is>
          <t xml:space="preserve">100% хлопок</t>
        </is>
      </c>
      <c r="J348" t="inlineStr">
        <is>
          <t xml:space="preserve">Демисезон</t>
        </is>
      </c>
      <c r="K348" t="inlineStr">
        <is>
          <t xml:space="preserve">Бангладеш</t>
        </is>
      </c>
      <c r="L348" t="inlineStr">
        <is>
          <t xml:space="preserve">6110209100</t>
        </is>
      </c>
      <c r="M348" t="inlineStr">
        <is>
          <t xml:space="preserve">Декларация № ЕАЭС № BY/112 11.01. ТР017 122.01 08246, до 19.04.2028</t>
        </is>
      </c>
      <c r="N348" t="inlineStr">
        <is>
          <t xml:space="preserve">35 × 28 × 3</t>
        </is>
      </c>
      <c r="O348" t="inlineStr">
        <is>
          <t xml:space="preserve">0,41</t>
        </is>
      </c>
      <c r="P348" t="inlineStr">
        <is>
          <t xml:space="preserve">4816148124920</t>
        </is>
      </c>
      <c r="Q348" s="3" t="str">
        <f>HYPERLINK("https://modify.by/img/182987720/1.webp","фото")</f>
        <v>фото</v>
      </c>
      <c r="R348" s="3" t="str">
        <f>HYPERLINK("https://modify.by/catalog/dzhempery/182987720/?utm_source=price&amp;utm_medium=xlsx","открыть")</f>
        <v>открыть</v>
      </c>
    </row>
    <row r="349">
      <c r="A349" t="inlineStr">
        <is>
          <t xml:space="preserve">Мужской</t>
        </is>
      </c>
      <c r="B349" t="inlineStr">
        <is>
          <t xml:space="preserve">Джемперы</t>
        </is>
      </c>
      <c r="C349" t="inlineStr">
        <is>
          <t xml:space="preserve">Джемпер с высоким горлом на молнии</t>
        </is>
      </c>
      <c r="D349" t="inlineStr">
        <is>
          <t xml:space="preserve">SW32M371черный</t>
        </is>
      </c>
      <c r="E349" t="inlineStr">
        <is>
          <t xml:space="preserve">черный</t>
        </is>
      </c>
      <c r="F349" t="inlineStr">
        <is>
          <t xml:space="preserve">56</t>
        </is>
      </c>
      <c r="G349">
        <v>1</v>
      </c>
      <c r="H349" s="2">
        <v>42.0</v>
      </c>
      <c r="I349" t="inlineStr">
        <is>
          <t xml:space="preserve">100% хлопок</t>
        </is>
      </c>
      <c r="J349" t="inlineStr">
        <is>
          <t xml:space="preserve">Демисезон</t>
        </is>
      </c>
      <c r="K349" t="inlineStr">
        <is>
          <t xml:space="preserve">Бангладеш</t>
        </is>
      </c>
      <c r="L349" t="inlineStr">
        <is>
          <t xml:space="preserve">6110209100</t>
        </is>
      </c>
      <c r="M349" t="inlineStr">
        <is>
          <t xml:space="preserve">Декларация № ЕАЭС № BY/112 11.01. ТР017 122.01 08246, до 19.04.2028</t>
        </is>
      </c>
      <c r="N349" t="inlineStr">
        <is>
          <t xml:space="preserve">35 × 28 × 3</t>
        </is>
      </c>
      <c r="O349" t="inlineStr">
        <is>
          <t xml:space="preserve">0,41</t>
        </is>
      </c>
      <c r="P349" t="inlineStr">
        <is>
          <t xml:space="preserve">2038096180342</t>
        </is>
      </c>
      <c r="Q349" s="3" t="str">
        <f>HYPERLINK("https://modify.by/img/182987720/1.webp","фото")</f>
        <v>фото</v>
      </c>
      <c r="R349" s="3" t="str">
        <f>HYPERLINK("https://modify.by/catalog/dzhempery/182987720/?utm_source=price&amp;utm_medium=xlsx","открыть")</f>
        <v>открыть</v>
      </c>
    </row>
    <row r="350">
      <c r="A350" t="inlineStr">
        <is>
          <t xml:space="preserve">Мужской</t>
        </is>
      </c>
      <c r="B350" t="inlineStr">
        <is>
          <t xml:space="preserve">Джемперы</t>
        </is>
      </c>
      <c r="C350" t="inlineStr">
        <is>
          <t xml:space="preserve">Джемпер с высоким горлом на молнии</t>
        </is>
      </c>
      <c r="D350" t="inlineStr">
        <is>
          <t xml:space="preserve">SW32M371черный</t>
        </is>
      </c>
      <c r="E350" t="inlineStr">
        <is>
          <t xml:space="preserve">черный</t>
        </is>
      </c>
      <c r="F350" t="inlineStr">
        <is>
          <t xml:space="preserve">56</t>
        </is>
      </c>
      <c r="G350">
        <v>1</v>
      </c>
      <c r="H350" s="2">
        <v>42.0</v>
      </c>
      <c r="I350" t="inlineStr">
        <is>
          <t xml:space="preserve">100% хлопок</t>
        </is>
      </c>
      <c r="J350" t="inlineStr">
        <is>
          <t xml:space="preserve">Демисезон</t>
        </is>
      </c>
      <c r="K350" t="inlineStr">
        <is>
          <t xml:space="preserve">Бангладеш</t>
        </is>
      </c>
      <c r="L350" t="inlineStr">
        <is>
          <t xml:space="preserve">6110209100</t>
        </is>
      </c>
      <c r="M350" t="inlineStr">
        <is>
          <t xml:space="preserve">Декларация № ЕАЭС № BY/112 11.01. ТР017 122.01 08246, до 19.04.2028</t>
        </is>
      </c>
      <c r="N350" t="inlineStr">
        <is>
          <t xml:space="preserve">35 × 28 × 3</t>
        </is>
      </c>
      <c r="O350" t="inlineStr">
        <is>
          <t xml:space="preserve">0,41</t>
        </is>
      </c>
      <c r="P350" t="inlineStr">
        <is>
          <t xml:space="preserve">4816148124944</t>
        </is>
      </c>
      <c r="Q350" s="3" t="str">
        <f>HYPERLINK("https://modify.by/img/182987720/1.webp","фото")</f>
        <v>фото</v>
      </c>
      <c r="R350" s="3" t="str">
        <f>HYPERLINK("https://modify.by/catalog/dzhempery/182987720/?utm_source=price&amp;utm_medium=xlsx","открыть")</f>
        <v>открыть</v>
      </c>
    </row>
    <row r="351">
      <c r="A351" t="inlineStr">
        <is>
          <t xml:space="preserve">Мужской</t>
        </is>
      </c>
      <c r="B351" t="inlineStr">
        <is>
          <t xml:space="preserve">Джемперы</t>
        </is>
      </c>
      <c r="C351" t="inlineStr">
        <is>
          <t xml:space="preserve">Джемпер теплый хлопковый</t>
        </is>
      </c>
      <c r="D351" t="inlineStr">
        <is>
          <t xml:space="preserve">SW32M22Темно-серый</t>
        </is>
      </c>
      <c r="E351" t="inlineStr">
        <is>
          <t xml:space="preserve">темно-серый</t>
        </is>
      </c>
      <c r="F351" t="inlineStr">
        <is>
          <t xml:space="preserve">54</t>
        </is>
      </c>
      <c r="G351">
        <v>9</v>
      </c>
      <c r="H351" s="2">
        <v>33.0</v>
      </c>
      <c r="I351" t="inlineStr">
        <is>
          <t xml:space="preserve">хлопок 100%</t>
        </is>
      </c>
      <c r="J351"/>
      <c r="K351" t="inlineStr">
        <is>
          <t xml:space="preserve">Бангладеш</t>
        </is>
      </c>
      <c r="L351" t="inlineStr">
        <is>
          <t xml:space="preserve">6110209100</t>
        </is>
      </c>
      <c r="M351" t="inlineStr">
        <is>
          <t xml:space="preserve">Декларация № ЕАЭС № BY/112 11.01. ТР017 122.01 08246, до 19.04.2028</t>
        </is>
      </c>
      <c r="N351" t="inlineStr">
        <is>
          <t xml:space="preserve">35 × 30 × 4</t>
        </is>
      </c>
      <c r="O351" t="inlineStr">
        <is>
          <t xml:space="preserve">0,37</t>
        </is>
      </c>
      <c r="P351" t="inlineStr">
        <is>
          <t xml:space="preserve">2026620748953</t>
        </is>
      </c>
      <c r="Q351" s="3" t="str">
        <f>HYPERLINK("https://modify.by/img/164145367/1.webp","фото")</f>
        <v>фото</v>
      </c>
      <c r="R351" s="3" t="str">
        <f>HYPERLINK("https://modify.by/catalog/dzhempery/164145367/?utm_source=price&amp;utm_medium=xlsx","открыть")</f>
        <v>открыть</v>
      </c>
    </row>
    <row r="352">
      <c r="A352" t="inlineStr">
        <is>
          <t xml:space="preserve">Мужской</t>
        </is>
      </c>
      <c r="B352" t="inlineStr">
        <is>
          <t xml:space="preserve">Джемперы</t>
        </is>
      </c>
      <c r="C352" t="inlineStr">
        <is>
          <t xml:space="preserve">Джемпер теплый хлопковый</t>
        </is>
      </c>
      <c r="D352" t="inlineStr">
        <is>
          <t xml:space="preserve">SW32M22Темно-серый</t>
        </is>
      </c>
      <c r="E352" t="inlineStr">
        <is>
          <t xml:space="preserve">темно-серый</t>
        </is>
      </c>
      <c r="F352" t="inlineStr">
        <is>
          <t xml:space="preserve">54</t>
        </is>
      </c>
      <c r="G352">
        <v>9</v>
      </c>
      <c r="H352" s="2">
        <v>33.0</v>
      </c>
      <c r="I352" t="inlineStr">
        <is>
          <t xml:space="preserve">хлопок 100%</t>
        </is>
      </c>
      <c r="J352"/>
      <c r="K352" t="inlineStr">
        <is>
          <t xml:space="preserve">Бангладеш</t>
        </is>
      </c>
      <c r="L352" t="inlineStr">
        <is>
          <t xml:space="preserve">6110209100</t>
        </is>
      </c>
      <c r="M352" t="inlineStr">
        <is>
          <t xml:space="preserve">Декларация № ЕАЭС № BY/112 11.01. ТР017 122.01 08246, до 19.04.2028</t>
        </is>
      </c>
      <c r="N352" t="inlineStr">
        <is>
          <t xml:space="preserve">35 × 30 × 4</t>
        </is>
      </c>
      <c r="O352" t="inlineStr">
        <is>
          <t xml:space="preserve">0,37</t>
        </is>
      </c>
      <c r="P352" t="inlineStr">
        <is>
          <t xml:space="preserve">4816148139559</t>
        </is>
      </c>
      <c r="Q352" s="3" t="str">
        <f>HYPERLINK("https://modify.by/img/164145367/1.webp","фото")</f>
        <v>фото</v>
      </c>
      <c r="R352" s="3" t="str">
        <f>HYPERLINK("https://modify.by/catalog/dzhempery/164145367/?utm_source=price&amp;utm_medium=xlsx","открыть")</f>
        <v>открыть</v>
      </c>
    </row>
    <row r="353">
      <c r="A353" t="inlineStr">
        <is>
          <t xml:space="preserve">Мужской</t>
        </is>
      </c>
      <c r="B353" t="inlineStr">
        <is>
          <t xml:space="preserve">Джемперы</t>
        </is>
      </c>
      <c r="C353" t="inlineStr">
        <is>
          <t xml:space="preserve">Джемпер теплый хлопковый</t>
        </is>
      </c>
      <c r="D353" t="inlineStr">
        <is>
          <t xml:space="preserve">SW32M22Темно-серый</t>
        </is>
      </c>
      <c r="E353" t="inlineStr">
        <is>
          <t xml:space="preserve">темно-серый</t>
        </is>
      </c>
      <c r="F353" t="inlineStr">
        <is>
          <t xml:space="preserve">56</t>
        </is>
      </c>
      <c r="G353">
        <v>5</v>
      </c>
      <c r="H353" s="2">
        <v>33.0</v>
      </c>
      <c r="I353" t="inlineStr">
        <is>
          <t xml:space="preserve">хлопок 100%</t>
        </is>
      </c>
      <c r="J353"/>
      <c r="K353" t="inlineStr">
        <is>
          <t xml:space="preserve">Бангладеш</t>
        </is>
      </c>
      <c r="L353" t="inlineStr">
        <is>
          <t xml:space="preserve">6110209100</t>
        </is>
      </c>
      <c r="M353" t="inlineStr">
        <is>
          <t xml:space="preserve">Декларация № ЕАЭС № BY/112 11.01. ТР017 122.01 08246, до 19.04.2028</t>
        </is>
      </c>
      <c r="N353" t="inlineStr">
        <is>
          <t xml:space="preserve">35 × 30 × 4</t>
        </is>
      </c>
      <c r="O353" t="inlineStr">
        <is>
          <t xml:space="preserve">0,37</t>
        </is>
      </c>
      <c r="P353" t="inlineStr">
        <is>
          <t xml:space="preserve">2026620748946</t>
        </is>
      </c>
      <c r="Q353" s="3" t="str">
        <f>HYPERLINK("https://modify.by/img/164145367/1.webp","фото")</f>
        <v>фото</v>
      </c>
      <c r="R353" s="3" t="str">
        <f>HYPERLINK("https://modify.by/catalog/dzhempery/164145367/?utm_source=price&amp;utm_medium=xlsx","открыть")</f>
        <v>открыть</v>
      </c>
    </row>
    <row r="354">
      <c r="A354" t="inlineStr">
        <is>
          <t xml:space="preserve">Мужской</t>
        </is>
      </c>
      <c r="B354" t="inlineStr">
        <is>
          <t xml:space="preserve">Джемперы</t>
        </is>
      </c>
      <c r="C354" t="inlineStr">
        <is>
          <t xml:space="preserve">Джемпер теплый хлопковый</t>
        </is>
      </c>
      <c r="D354" t="inlineStr">
        <is>
          <t xml:space="preserve">SW32M22Темно-серый</t>
        </is>
      </c>
      <c r="E354" t="inlineStr">
        <is>
          <t xml:space="preserve">темно-серый</t>
        </is>
      </c>
      <c r="F354" t="inlineStr">
        <is>
          <t xml:space="preserve">56</t>
        </is>
      </c>
      <c r="G354">
        <v>5</v>
      </c>
      <c r="H354" s="2">
        <v>33.0</v>
      </c>
      <c r="I354" t="inlineStr">
        <is>
          <t xml:space="preserve">хлопок 100%</t>
        </is>
      </c>
      <c r="J354"/>
      <c r="K354" t="inlineStr">
        <is>
          <t xml:space="preserve">Бангладеш</t>
        </is>
      </c>
      <c r="L354" t="inlineStr">
        <is>
          <t xml:space="preserve">6110209100</t>
        </is>
      </c>
      <c r="M354" t="inlineStr">
        <is>
          <t xml:space="preserve">Декларация № ЕАЭС № BY/112 11.01. ТР017 122.01 08246, до 19.04.2028</t>
        </is>
      </c>
      <c r="N354" t="inlineStr">
        <is>
          <t xml:space="preserve">35 × 30 × 4</t>
        </is>
      </c>
      <c r="O354" t="inlineStr">
        <is>
          <t xml:space="preserve">0,37</t>
        </is>
      </c>
      <c r="P354" t="inlineStr">
        <is>
          <t xml:space="preserve">4816148139566</t>
        </is>
      </c>
      <c r="Q354" s="3" t="str">
        <f>HYPERLINK("https://modify.by/img/164145367/1.webp","фото")</f>
        <v>фото</v>
      </c>
      <c r="R354" s="3" t="str">
        <f>HYPERLINK("https://modify.by/catalog/dzhempery/164145367/?utm_source=price&amp;utm_medium=xlsx","открыть")</f>
        <v>открыть</v>
      </c>
    </row>
    <row r="355">
      <c r="A355" t="inlineStr">
        <is>
          <t xml:space="preserve">Мужской</t>
        </is>
      </c>
      <c r="B355" t="inlineStr">
        <is>
          <t xml:space="preserve">Джемперы</t>
        </is>
      </c>
      <c r="C355" t="inlineStr">
        <is>
          <t xml:space="preserve">Джемпер хлопковый базовый, бордовый</t>
        </is>
      </c>
      <c r="D355" t="inlineStr">
        <is>
          <t xml:space="preserve">SW42M08бордовый</t>
        </is>
      </c>
      <c r="E355" t="inlineStr">
        <is>
          <t xml:space="preserve">бордовый</t>
        </is>
      </c>
      <c r="F355" t="inlineStr">
        <is>
          <t xml:space="preserve">56</t>
        </is>
      </c>
      <c r="G355">
        <v>31</v>
      </c>
      <c r="H355" s="2">
        <v>33.0</v>
      </c>
      <c r="I355" t="inlineStr">
        <is>
          <t xml:space="preserve">100% хлопок</t>
        </is>
      </c>
      <c r="J355" t="inlineStr">
        <is>
          <t xml:space="preserve">демисезон</t>
        </is>
      </c>
      <c r="K355" t="inlineStr">
        <is>
          <t xml:space="preserve">Бангладеш</t>
        </is>
      </c>
      <c r="L355" t="inlineStr">
        <is>
          <t xml:space="preserve">6110309100</t>
        </is>
      </c>
      <c r="M355" t="inlineStr">
        <is>
          <t xml:space="preserve">Декларация № ЕАЭС № BY/112 11.01. ТР017 122.01 08246, до 19.04.2028</t>
        </is>
      </c>
      <c r="N355" t="inlineStr">
        <is>
          <t xml:space="preserve">35 × 25 × 2</t>
        </is>
      </c>
      <c r="O355" t="inlineStr">
        <is>
          <t xml:space="preserve">0,2</t>
        </is>
      </c>
      <c r="P355" t="inlineStr">
        <is>
          <t xml:space="preserve">4816148147707</t>
        </is>
      </c>
      <c r="Q355" s="3" t="str">
        <f>HYPERLINK("https://modify.by/img/258242638/1.webp","фото")</f>
        <v>фото</v>
      </c>
      <c r="R355" s="3" t="str">
        <f>HYPERLINK("https://modify.by/catalog/dzhempery/258242638/?utm_source=price&amp;utm_medium=xlsx","открыть")</f>
        <v>открыть</v>
      </c>
    </row>
    <row r="356">
      <c r="A356" t="inlineStr">
        <is>
          <t xml:space="preserve">Мужской</t>
        </is>
      </c>
      <c r="B356" t="inlineStr">
        <is>
          <t xml:space="preserve">Джемперы</t>
        </is>
      </c>
      <c r="C356" t="inlineStr">
        <is>
          <t xml:space="preserve">Джемпер хлопковый базовый, темно-синий</t>
        </is>
      </c>
      <c r="D356" t="inlineStr">
        <is>
          <t xml:space="preserve">SW42M08темно-синий</t>
        </is>
      </c>
      <c r="E356" t="inlineStr">
        <is>
          <t xml:space="preserve">темно-синий</t>
        </is>
      </c>
      <c r="F356" t="inlineStr">
        <is>
          <t xml:space="preserve">56</t>
        </is>
      </c>
      <c r="G356">
        <v>9</v>
      </c>
      <c r="H356" s="2">
        <v>33.0</v>
      </c>
      <c r="I356" t="inlineStr">
        <is>
          <t xml:space="preserve">100% хлопок</t>
        </is>
      </c>
      <c r="J356" t="inlineStr">
        <is>
          <t xml:space="preserve">демисезон</t>
        </is>
      </c>
      <c r="K356" t="inlineStr">
        <is>
          <t xml:space="preserve">Бангладеш</t>
        </is>
      </c>
      <c r="L356" t="inlineStr">
        <is>
          <t xml:space="preserve">6110309100</t>
        </is>
      </c>
      <c r="M356" t="inlineStr">
        <is>
          <t xml:space="preserve">Декларация № ЕАЭС № BY/112 11.01. ТР017 122.01 08246, до 19.04.2028</t>
        </is>
      </c>
      <c r="N356" t="inlineStr">
        <is>
          <t xml:space="preserve">35 × 25 × 2</t>
        </is>
      </c>
      <c r="O356" t="inlineStr">
        <is>
          <t xml:space="preserve">0,2</t>
        </is>
      </c>
      <c r="P356" t="inlineStr">
        <is>
          <t xml:space="preserve">4816148147462</t>
        </is>
      </c>
      <c r="Q356" s="3" t="str">
        <f>HYPERLINK("https://modify.by/img/258242634/1.webp","фото")</f>
        <v>фото</v>
      </c>
      <c r="R356" s="3" t="str">
        <f>HYPERLINK("https://modify.by/catalog/dzhempery/258242634/?utm_source=price&amp;utm_medium=xlsx","открыть")</f>
        <v>открыть</v>
      </c>
    </row>
    <row r="357">
      <c r="A357" t="inlineStr">
        <is>
          <t xml:space="preserve">Мужской</t>
        </is>
      </c>
      <c r="B357" t="inlineStr">
        <is>
          <t xml:space="preserve">Джемперы</t>
        </is>
      </c>
      <c r="C357" t="inlineStr">
        <is>
          <t xml:space="preserve">Классический джемпер с V-образным вырезом, темно-серый</t>
        </is>
      </c>
      <c r="D357" t="inlineStr">
        <is>
          <t xml:space="preserve">SW42M01темно-серый</t>
        </is>
      </c>
      <c r="E357" t="inlineStr">
        <is>
          <t xml:space="preserve">темно-серый</t>
        </is>
      </c>
      <c r="F357" t="inlineStr">
        <is>
          <t xml:space="preserve">46/182</t>
        </is>
      </c>
      <c r="G357">
        <v>6</v>
      </c>
      <c r="H357" s="2">
        <v>30.0</v>
      </c>
      <c r="I357" t="inlineStr">
        <is>
          <t xml:space="preserve">хлопок 80% нейлон 20%</t>
        </is>
      </c>
      <c r="J357" t="inlineStr">
        <is>
          <t xml:space="preserve">зима</t>
        </is>
      </c>
      <c r="K357" t="inlineStr">
        <is>
          <t xml:space="preserve">Бангладеш</t>
        </is>
      </c>
      <c r="L357" t="inlineStr">
        <is>
          <t xml:space="preserve">6110209100</t>
        </is>
      </c>
      <c r="M357" t="inlineStr">
        <is>
          <t xml:space="preserve">Декларация № ЕАЭС № BY/112 11.01. ТР017 122.01 08246, до 19.04.2028</t>
        </is>
      </c>
      <c r="N357" t="inlineStr">
        <is>
          <t xml:space="preserve">30 × 26 × 2</t>
        </is>
      </c>
      <c r="O357" t="inlineStr">
        <is>
          <t xml:space="preserve">0,35</t>
        </is>
      </c>
      <c r="P357" t="inlineStr">
        <is>
          <t xml:space="preserve">4816148146106</t>
        </is>
      </c>
      <c r="Q357" s="3" t="str">
        <f>HYPERLINK("https://modify.by/img/268692318/1.webp","фото")</f>
        <v>фото</v>
      </c>
      <c r="R357" s="3" t="str">
        <f>HYPERLINK("https://modify.by/catalog/dzhempery/268692318/?utm_source=price&amp;utm_medium=xlsx","открыть")</f>
        <v>открыть</v>
      </c>
    </row>
    <row r="358">
      <c r="A358" t="inlineStr">
        <is>
          <t xml:space="preserve">Мужской</t>
        </is>
      </c>
      <c r="B358" t="inlineStr">
        <is>
          <t xml:space="preserve">Джемперы</t>
        </is>
      </c>
      <c r="C358" t="inlineStr">
        <is>
          <t xml:space="preserve">Классический джемпер с V-образным вырезом, темно-серый</t>
        </is>
      </c>
      <c r="D358" t="inlineStr">
        <is>
          <t xml:space="preserve">SW42M01темно-серый</t>
        </is>
      </c>
      <c r="E358" t="inlineStr">
        <is>
          <t xml:space="preserve">темно-серый</t>
        </is>
      </c>
      <c r="F358" t="inlineStr">
        <is>
          <t xml:space="preserve">48/182</t>
        </is>
      </c>
      <c r="G358">
        <v>17</v>
      </c>
      <c r="H358" s="2">
        <v>30.0</v>
      </c>
      <c r="I358" t="inlineStr">
        <is>
          <t xml:space="preserve">хлопок 80% нейлон 20%</t>
        </is>
      </c>
      <c r="J358" t="inlineStr">
        <is>
          <t xml:space="preserve">зима</t>
        </is>
      </c>
      <c r="K358" t="inlineStr">
        <is>
          <t xml:space="preserve">Бангладеш</t>
        </is>
      </c>
      <c r="L358" t="inlineStr">
        <is>
          <t xml:space="preserve">6110209100</t>
        </is>
      </c>
      <c r="M358" t="inlineStr">
        <is>
          <t xml:space="preserve">Декларация № ЕАЭС № BY/112 11.01. ТР017 122.01 08246, до 19.04.2028</t>
        </is>
      </c>
      <c r="N358" t="inlineStr">
        <is>
          <t xml:space="preserve">30 × 26 × 2</t>
        </is>
      </c>
      <c r="O358" t="inlineStr">
        <is>
          <t xml:space="preserve">0,35</t>
        </is>
      </c>
      <c r="P358" t="inlineStr">
        <is>
          <t xml:space="preserve">4816148146113</t>
        </is>
      </c>
      <c r="Q358" s="3" t="str">
        <f>HYPERLINK("https://modify.by/img/268692318/1.webp","фото")</f>
        <v>фото</v>
      </c>
      <c r="R358" s="3" t="str">
        <f>HYPERLINK("https://modify.by/catalog/dzhempery/268692318/?utm_source=price&amp;utm_medium=xlsx","открыть")</f>
        <v>открыть</v>
      </c>
    </row>
    <row r="359">
      <c r="A359" t="inlineStr">
        <is>
          <t xml:space="preserve">Мужской</t>
        </is>
      </c>
      <c r="B359" t="inlineStr">
        <is>
          <t xml:space="preserve">Джемперы</t>
        </is>
      </c>
      <c r="C359" t="inlineStr">
        <is>
          <t xml:space="preserve">Классический джемпер с V-образным вырезом, темно-синий</t>
        </is>
      </c>
      <c r="D359" t="inlineStr">
        <is>
          <t xml:space="preserve">SW42M01темно-синий</t>
        </is>
      </c>
      <c r="E359" t="inlineStr">
        <is>
          <t xml:space="preserve">темно-синий</t>
        </is>
      </c>
      <c r="F359" t="inlineStr">
        <is>
          <t xml:space="preserve">50/182</t>
        </is>
      </c>
      <c r="G359">
        <v>5</v>
      </c>
      <c r="H359" s="2">
        <v>30.0</v>
      </c>
      <c r="I359" t="inlineStr">
        <is>
          <t xml:space="preserve">хлопок 80% нейлон 20%</t>
        </is>
      </c>
      <c r="J359" t="inlineStr">
        <is>
          <t xml:space="preserve">круглогодичный</t>
        </is>
      </c>
      <c r="K359" t="inlineStr">
        <is>
          <t xml:space="preserve">Бангладеш</t>
        </is>
      </c>
      <c r="L359" t="inlineStr">
        <is>
          <t xml:space="preserve">6110209100</t>
        </is>
      </c>
      <c r="M359" t="inlineStr">
        <is>
          <t xml:space="preserve">Декларация № ЕАЭС № BY/112 11.01. ТР017 122.01 08246, до 19.04.2028</t>
        </is>
      </c>
      <c r="N359" t="inlineStr">
        <is>
          <t xml:space="preserve">30 × 26 × 2</t>
        </is>
      </c>
      <c r="O359" t="inlineStr">
        <is>
          <t xml:space="preserve">0,35</t>
        </is>
      </c>
      <c r="P359" t="inlineStr">
        <is>
          <t xml:space="preserve">4816148145949</t>
        </is>
      </c>
      <c r="Q359" s="3" t="str">
        <f>HYPERLINK("https://modify.by/img/268692314/1.webp","фото")</f>
        <v>фото</v>
      </c>
      <c r="R359" s="3" t="str">
        <f>HYPERLINK("https://modify.by/catalog/dzhempery/268692314/?utm_source=price&amp;utm_medium=xlsx","открыть")</f>
        <v>открыть</v>
      </c>
    </row>
    <row r="360">
      <c r="A360" t="inlineStr">
        <is>
          <t xml:space="preserve">Мужской</t>
        </is>
      </c>
      <c r="B360" t="inlineStr">
        <is>
          <t xml:space="preserve">Джемперы</t>
        </is>
      </c>
      <c r="C360" t="inlineStr">
        <is>
          <t xml:space="preserve">джемпер с V-вырезом</t>
        </is>
      </c>
      <c r="D360" t="inlineStr">
        <is>
          <t xml:space="preserve">SW52M01Темно-синий</t>
        </is>
      </c>
      <c r="E360" t="inlineStr">
        <is>
          <t xml:space="preserve">темно-синий</t>
        </is>
      </c>
      <c r="F360" t="inlineStr">
        <is>
          <t xml:space="preserve">46</t>
        </is>
      </c>
      <c r="G360">
        <v>33</v>
      </c>
      <c r="H360" s="2">
        <v>33.0</v>
      </c>
      <c r="I360" t="inlineStr">
        <is>
          <t xml:space="preserve">хлопок 88% полиамид 12%</t>
        </is>
      </c>
      <c r="J360" t="inlineStr">
        <is>
          <t xml:space="preserve">круглогодичный</t>
        </is>
      </c>
      <c r="K360" t="inlineStr">
        <is>
          <t xml:space="preserve">Бангладеш</t>
        </is>
      </c>
      <c r="L360" t="inlineStr">
        <is>
          <t xml:space="preserve">6110209100</t>
        </is>
      </c>
      <c r="M360" t="inlineStr">
        <is>
          <t xml:space="preserve">Декларация № ЕАЭС № BY/112 11.01. ТР017 122.01 08246, до 19.04.2028</t>
        </is>
      </c>
      <c r="N360" t="inlineStr">
        <is>
          <t xml:space="preserve">39 × 30 × 2</t>
        </is>
      </c>
      <c r="O360" t="inlineStr">
        <is>
          <t xml:space="preserve">0,35</t>
        </is>
      </c>
      <c r="P360" t="inlineStr">
        <is>
          <t xml:space="preserve">4816148164056</t>
        </is>
      </c>
      <c r="Q360" s="3" t="str">
        <f>HYPERLINK("https://modify.by/img/155911489/1.webp","фото")</f>
        <v>фото</v>
      </c>
      <c r="R360" s="3" t="str">
        <f>HYPERLINK("https://modify.by/catalog/dzhempery/155911489/?utm_source=price&amp;utm_medium=xlsx","открыть")</f>
        <v>открыть</v>
      </c>
    </row>
    <row r="361">
      <c r="A361" t="inlineStr">
        <is>
          <t xml:space="preserve">Мужской</t>
        </is>
      </c>
      <c r="B361" t="inlineStr">
        <is>
          <t xml:space="preserve">Джемперы</t>
        </is>
      </c>
      <c r="C361" t="inlineStr">
        <is>
          <t xml:space="preserve">джемпер с V-вырезом</t>
        </is>
      </c>
      <c r="D361" t="inlineStr">
        <is>
          <t xml:space="preserve">SW52M01Темно-синий</t>
        </is>
      </c>
      <c r="E361" t="inlineStr">
        <is>
          <t xml:space="preserve">темно-синий</t>
        </is>
      </c>
      <c r="F361" t="inlineStr">
        <is>
          <t xml:space="preserve">48</t>
        </is>
      </c>
      <c r="G361">
        <v>11</v>
      </c>
      <c r="H361" s="2">
        <v>33.0</v>
      </c>
      <c r="I361" t="inlineStr">
        <is>
          <t xml:space="preserve">хлопок 88% полиамид 12%</t>
        </is>
      </c>
      <c r="J361" t="inlineStr">
        <is>
          <t xml:space="preserve">круглогодичный</t>
        </is>
      </c>
      <c r="K361" t="inlineStr">
        <is>
          <t xml:space="preserve">Бангладеш</t>
        </is>
      </c>
      <c r="L361" t="inlineStr">
        <is>
          <t xml:space="preserve">6110209100</t>
        </is>
      </c>
      <c r="M361" t="inlineStr">
        <is>
          <t xml:space="preserve">Декларация № ЕАЭС № BY/112 11.01. ТР017 122.01 08246, до 19.04.2028</t>
        </is>
      </c>
      <c r="N361" t="inlineStr">
        <is>
          <t xml:space="preserve">39 × 30 × 2</t>
        </is>
      </c>
      <c r="O361" t="inlineStr">
        <is>
          <t xml:space="preserve">0,35</t>
        </is>
      </c>
      <c r="P361" t="inlineStr">
        <is>
          <t xml:space="preserve">4816148164063</t>
        </is>
      </c>
      <c r="Q361" s="3" t="str">
        <f>HYPERLINK("https://modify.by/img/155911489/1.webp","фото")</f>
        <v>фото</v>
      </c>
      <c r="R361" s="3" t="str">
        <f>HYPERLINK("https://modify.by/catalog/dzhempery/155911489/?utm_source=price&amp;utm_medium=xlsx","открыть")</f>
        <v>открыть</v>
      </c>
    </row>
    <row r="362">
      <c r="A362" t="inlineStr">
        <is>
          <t xml:space="preserve">Мужской</t>
        </is>
      </c>
      <c r="B362" t="inlineStr">
        <is>
          <t xml:space="preserve">Джемперы</t>
        </is>
      </c>
      <c r="C362" t="inlineStr">
        <is>
          <t xml:space="preserve">свитер с круглым горлом базовый</t>
        </is>
      </c>
      <c r="D362" t="inlineStr">
        <is>
          <t xml:space="preserve">SW32M36Черный</t>
        </is>
      </c>
      <c r="E362" t="inlineStr">
        <is>
          <t xml:space="preserve">черный</t>
        </is>
      </c>
      <c r="F362" t="inlineStr">
        <is>
          <t xml:space="preserve">xxl</t>
        </is>
      </c>
      <c r="G362">
        <v>8</v>
      </c>
      <c r="H362" s="2">
        <v>42.0</v>
      </c>
      <c r="I362" t="inlineStr">
        <is>
          <t xml:space="preserve">хлопок 100%</t>
        </is>
      </c>
      <c r="J362"/>
      <c r="K362" t="inlineStr">
        <is>
          <t xml:space="preserve">Бангладеш</t>
        </is>
      </c>
      <c r="L362" t="inlineStr">
        <is>
          <t xml:space="preserve">6110209100</t>
        </is>
      </c>
      <c r="M362" t="inlineStr">
        <is>
          <t xml:space="preserve">Декларация № ЕАЭС № BY/112 11.01. ТР017 122.01 08246, до 19.04.2028</t>
        </is>
      </c>
      <c r="N362" t="inlineStr">
        <is>
          <t xml:space="preserve">40 × 31 × 3</t>
        </is>
      </c>
      <c r="O362" t="inlineStr">
        <is>
          <t xml:space="preserve">0,55</t>
        </is>
      </c>
      <c r="P362" t="inlineStr">
        <is>
          <t xml:space="preserve">4816148116444</t>
        </is>
      </c>
      <c r="Q362" s="3" t="str">
        <f>HYPERLINK("https://modify.by/img/171139964/1.webp","фото")</f>
        <v>фото</v>
      </c>
      <c r="R362" s="3" t="str">
        <f>HYPERLINK("https://modify.by/catalog/dzhempery/171139964/?utm_source=price&amp;utm_medium=xlsx","открыть")</f>
        <v>открыть</v>
      </c>
    </row>
    <row r="363">
      <c r="A363" t="inlineStr">
        <is>
          <t xml:space="preserve">Мужской</t>
        </is>
      </c>
      <c r="B363" t="inlineStr">
        <is>
          <t xml:space="preserve">Джинсы</t>
        </is>
      </c>
      <c r="C363" t="inlineStr">
        <is>
          <t xml:space="preserve">Брюки из лёгкого денима, песочный</t>
        </is>
      </c>
      <c r="D363" t="inlineStr">
        <is>
          <t xml:space="preserve">PA42M03песочный</t>
        </is>
      </c>
      <c r="E363" t="inlineStr">
        <is>
          <t xml:space="preserve">песочный</t>
        </is>
      </c>
      <c r="F363" t="inlineStr">
        <is>
          <t xml:space="preserve">44/176</t>
        </is>
      </c>
      <c r="G363">
        <v>1</v>
      </c>
      <c r="H363" s="2">
        <v>58.0</v>
      </c>
      <c r="I363" t="inlineStr">
        <is>
          <t xml:space="preserve">Хлопок 98%, эластан 2%</t>
        </is>
      </c>
      <c r="J363" t="inlineStr">
        <is>
          <t xml:space="preserve">круглогодичный</t>
        </is>
      </c>
      <c r="K363" t="inlineStr">
        <is>
          <t xml:space="preserve">Бангладеш</t>
        </is>
      </c>
      <c r="L363" t="inlineStr">
        <is>
          <t xml:space="preserve">6203423500</t>
        </is>
      </c>
      <c r="M363" t="inlineStr">
        <is>
          <t xml:space="preserve">по запросу</t>
        </is>
      </c>
      <c r="N363"/>
      <c r="O363"/>
      <c r="P363" t="inlineStr">
        <is>
          <t xml:space="preserve">4816148151353</t>
        </is>
      </c>
      <c r="Q363" s="3" t="str">
        <f>HYPERLINK("https://modify.by/img/264200315/1.webp","фото")</f>
        <v>фото</v>
      </c>
      <c r="R363" s="3" t="str">
        <f>HYPERLINK("https://modify.by/catalog/dzhinsy/264200315/?utm_source=price&amp;utm_medium=xlsx","открыть")</f>
        <v>открыть</v>
      </c>
    </row>
    <row r="364">
      <c r="A364" t="inlineStr">
        <is>
          <t xml:space="preserve">Мужской</t>
        </is>
      </c>
      <c r="B364" t="inlineStr">
        <is>
          <t xml:space="preserve">Джинсы</t>
        </is>
      </c>
      <c r="C364" t="inlineStr">
        <is>
          <t xml:space="preserve">Брюки из лёгкого денима, серый</t>
        </is>
      </c>
      <c r="D364" t="inlineStr">
        <is>
          <t xml:space="preserve">PA42M03серый</t>
        </is>
      </c>
      <c r="E364" t="inlineStr">
        <is>
          <t xml:space="preserve">серый, графит</t>
        </is>
      </c>
      <c r="F364" t="inlineStr">
        <is>
          <t xml:space="preserve">46/176</t>
        </is>
      </c>
      <c r="G364">
        <v>9</v>
      </c>
      <c r="H364" s="2">
        <v>58.0</v>
      </c>
      <c r="I364" t="inlineStr">
        <is>
          <t xml:space="preserve">Хлопок 98%, эластан 2%</t>
        </is>
      </c>
      <c r="J364" t="inlineStr">
        <is>
          <t xml:space="preserve">круглогодичный</t>
        </is>
      </c>
      <c r="K364" t="inlineStr">
        <is>
          <t xml:space="preserve">Бангладеш</t>
        </is>
      </c>
      <c r="L364" t="inlineStr">
        <is>
          <t xml:space="preserve">6203423500</t>
        </is>
      </c>
      <c r="M364" t="inlineStr">
        <is>
          <t xml:space="preserve">по запросу</t>
        </is>
      </c>
      <c r="N364" t="inlineStr">
        <is>
          <t xml:space="preserve">35 × 25 × 2</t>
        </is>
      </c>
      <c r="O364" t="inlineStr">
        <is>
          <t xml:space="preserve">0,48</t>
        </is>
      </c>
      <c r="P364" t="inlineStr">
        <is>
          <t xml:space="preserve">4816148110756</t>
        </is>
      </c>
      <c r="Q364" s="3" t="str">
        <f>HYPERLINK("https://modify.by/img/264200313/1.webp","фото")</f>
        <v>фото</v>
      </c>
      <c r="R364" s="3" t="str">
        <f>HYPERLINK("https://modify.by/catalog/dzhinsy/264200313/?utm_source=price&amp;utm_medium=xlsx","открыть")</f>
        <v>открыть</v>
      </c>
    </row>
    <row r="365">
      <c r="A365" t="inlineStr">
        <is>
          <t xml:space="preserve">Мужской</t>
        </is>
      </c>
      <c r="B365" t="inlineStr">
        <is>
          <t xml:space="preserve">Джинсы</t>
        </is>
      </c>
      <c r="C365" t="inlineStr">
        <is>
          <t xml:space="preserve">Брюки из лёгкого денима, серый</t>
        </is>
      </c>
      <c r="D365" t="inlineStr">
        <is>
          <t xml:space="preserve">PA42M03серый</t>
        </is>
      </c>
      <c r="E365" t="inlineStr">
        <is>
          <t xml:space="preserve">серый, графит</t>
        </is>
      </c>
      <c r="F365" t="inlineStr">
        <is>
          <t xml:space="preserve">48/176</t>
        </is>
      </c>
      <c r="G365">
        <v>6</v>
      </c>
      <c r="H365" s="2">
        <v>58.0</v>
      </c>
      <c r="I365" t="inlineStr">
        <is>
          <t xml:space="preserve">Хлопок 98%, эластан 2%</t>
        </is>
      </c>
      <c r="J365" t="inlineStr">
        <is>
          <t xml:space="preserve">круглогодичный</t>
        </is>
      </c>
      <c r="K365" t="inlineStr">
        <is>
          <t xml:space="preserve">Бангладеш</t>
        </is>
      </c>
      <c r="L365" t="inlineStr">
        <is>
          <t xml:space="preserve">6203423500</t>
        </is>
      </c>
      <c r="M365" t="inlineStr">
        <is>
          <t xml:space="preserve">по запросу</t>
        </is>
      </c>
      <c r="N365" t="inlineStr">
        <is>
          <t xml:space="preserve">35 × 25 × 2</t>
        </is>
      </c>
      <c r="O365" t="inlineStr">
        <is>
          <t xml:space="preserve">0,48</t>
        </is>
      </c>
      <c r="P365" t="inlineStr">
        <is>
          <t xml:space="preserve">4816148110763</t>
        </is>
      </c>
      <c r="Q365" s="3" t="str">
        <f>HYPERLINK("https://modify.by/img/264200313/1.webp","фото")</f>
        <v>фото</v>
      </c>
      <c r="R365" s="3" t="str">
        <f>HYPERLINK("https://modify.by/catalog/dzhinsy/264200313/?utm_source=price&amp;utm_medium=xlsx","открыть")</f>
        <v>открыть</v>
      </c>
    </row>
    <row r="366">
      <c r="A366" t="inlineStr">
        <is>
          <t xml:space="preserve">Мужской</t>
        </is>
      </c>
      <c r="B366" t="inlineStr">
        <is>
          <t xml:space="preserve">Джинсы</t>
        </is>
      </c>
      <c r="C366" t="inlineStr">
        <is>
          <t xml:space="preserve">Брюки из лёгкого денима, серый</t>
        </is>
      </c>
      <c r="D366" t="inlineStr">
        <is>
          <t xml:space="preserve">PA42M03серый</t>
        </is>
      </c>
      <c r="E366" t="inlineStr">
        <is>
          <t xml:space="preserve">серый, графит</t>
        </is>
      </c>
      <c r="F366" t="inlineStr">
        <is>
          <t xml:space="preserve">50/182</t>
        </is>
      </c>
      <c r="G366">
        <v>3</v>
      </c>
      <c r="H366" s="2">
        <v>58.0</v>
      </c>
      <c r="I366" t="inlineStr">
        <is>
          <t xml:space="preserve">Хлопок 98%, эластан 2%</t>
        </is>
      </c>
      <c r="J366" t="inlineStr">
        <is>
          <t xml:space="preserve">круглогодичный</t>
        </is>
      </c>
      <c r="K366" t="inlineStr">
        <is>
          <t xml:space="preserve">Бангладеш</t>
        </is>
      </c>
      <c r="L366" t="inlineStr">
        <is>
          <t xml:space="preserve">6203423500</t>
        </is>
      </c>
      <c r="M366" t="inlineStr">
        <is>
          <t xml:space="preserve">по запросу</t>
        </is>
      </c>
      <c r="N366" t="inlineStr">
        <is>
          <t xml:space="preserve">35 × 25 × 2</t>
        </is>
      </c>
      <c r="O366" t="inlineStr">
        <is>
          <t xml:space="preserve">0,48</t>
        </is>
      </c>
      <c r="P366" t="inlineStr">
        <is>
          <t xml:space="preserve">4816148111074</t>
        </is>
      </c>
      <c r="Q366" s="3" t="str">
        <f>HYPERLINK("https://modify.by/img/264200313/1.webp","фото")</f>
        <v>фото</v>
      </c>
      <c r="R366" s="3" t="str">
        <f>HYPERLINK("https://modify.by/catalog/dzhinsy/264200313/?utm_source=price&amp;utm_medium=xlsx","открыть")</f>
        <v>открыть</v>
      </c>
    </row>
    <row r="367">
      <c r="A367" t="inlineStr">
        <is>
          <t xml:space="preserve">Мужской</t>
        </is>
      </c>
      <c r="B367" t="inlineStr">
        <is>
          <t xml:space="preserve">Джинсы</t>
        </is>
      </c>
      <c r="C367" t="inlineStr">
        <is>
          <t xml:space="preserve">Брюки из лёгкого денима, серый</t>
        </is>
      </c>
      <c r="D367" t="inlineStr">
        <is>
          <t xml:space="preserve">PA42M03серый</t>
        </is>
      </c>
      <c r="E367" t="inlineStr">
        <is>
          <t xml:space="preserve">серый, графит</t>
        </is>
      </c>
      <c r="F367" t="inlineStr">
        <is>
          <t xml:space="preserve">52/176</t>
        </is>
      </c>
      <c r="G367">
        <v>1</v>
      </c>
      <c r="H367" s="2">
        <v>58.0</v>
      </c>
      <c r="I367" t="inlineStr">
        <is>
          <t xml:space="preserve">Хлопок 98%, эластан 2%</t>
        </is>
      </c>
      <c r="J367" t="inlineStr">
        <is>
          <t xml:space="preserve">круглогодичный</t>
        </is>
      </c>
      <c r="K367" t="inlineStr">
        <is>
          <t xml:space="preserve">Бангладеш</t>
        </is>
      </c>
      <c r="L367" t="inlineStr">
        <is>
          <t xml:space="preserve">6203423500</t>
        </is>
      </c>
      <c r="M367" t="inlineStr">
        <is>
          <t xml:space="preserve">по запросу</t>
        </is>
      </c>
      <c r="N367" t="inlineStr">
        <is>
          <t xml:space="preserve">35 × 25 × 2</t>
        </is>
      </c>
      <c r="O367" t="inlineStr">
        <is>
          <t xml:space="preserve">0,48</t>
        </is>
      </c>
      <c r="P367" t="inlineStr">
        <is>
          <t xml:space="preserve">4816148110787</t>
        </is>
      </c>
      <c r="Q367" s="3" t="str">
        <f>HYPERLINK("https://modify.by/img/264200313/1.webp","фото")</f>
        <v>фото</v>
      </c>
      <c r="R367" s="3" t="str">
        <f>HYPERLINK("https://modify.by/catalog/dzhinsy/264200313/?utm_source=price&amp;utm_medium=xlsx","открыть")</f>
        <v>открыть</v>
      </c>
    </row>
    <row r="368">
      <c r="A368" t="inlineStr">
        <is>
          <t xml:space="preserve">Мужской</t>
        </is>
      </c>
      <c r="B368" t="inlineStr">
        <is>
          <t xml:space="preserve">Джинсы</t>
        </is>
      </c>
      <c r="C368" t="inlineStr">
        <is>
          <t xml:space="preserve">Брюки из лёгкого денима, черный</t>
        </is>
      </c>
      <c r="D368" t="inlineStr">
        <is>
          <t xml:space="preserve">PA42M03черный</t>
        </is>
      </c>
      <c r="E368" t="inlineStr">
        <is>
          <t xml:space="preserve">черный</t>
        </is>
      </c>
      <c r="F368" t="inlineStr">
        <is>
          <t xml:space="preserve">50/176</t>
        </is>
      </c>
      <c r="G368">
        <v>14</v>
      </c>
      <c r="H368" s="2">
        <v>58.0</v>
      </c>
      <c r="I368" t="inlineStr">
        <is>
          <t xml:space="preserve">Хлопок 98%, эластан 2%</t>
        </is>
      </c>
      <c r="J368" t="inlineStr">
        <is>
          <t xml:space="preserve">круглогодичный</t>
        </is>
      </c>
      <c r="K368" t="inlineStr">
        <is>
          <t xml:space="preserve">Бангладеш</t>
        </is>
      </c>
      <c r="L368" t="inlineStr">
        <is>
          <t xml:space="preserve">6203423500</t>
        </is>
      </c>
      <c r="M368" t="inlineStr">
        <is>
          <t xml:space="preserve">по запросу</t>
        </is>
      </c>
      <c r="N368"/>
      <c r="O368"/>
      <c r="P368" t="inlineStr">
        <is>
          <t xml:space="preserve">4816148110718</t>
        </is>
      </c>
      <c r="Q368" s="3" t="str">
        <f>HYPERLINK("https://modify.by/img/264200312/1.webp","фото")</f>
        <v>фото</v>
      </c>
      <c r="R368" s="3" t="str">
        <f>HYPERLINK("https://modify.by/catalog/dzhinsy/264200312/?utm_source=price&amp;utm_medium=xlsx","открыть")</f>
        <v>открыть</v>
      </c>
    </row>
    <row r="369">
      <c r="A369" t="inlineStr">
        <is>
          <t xml:space="preserve">Мужской</t>
        </is>
      </c>
      <c r="B369" t="inlineStr">
        <is>
          <t xml:space="preserve">Джинсы</t>
        </is>
      </c>
      <c r="C369" t="inlineStr">
        <is>
          <t xml:space="preserve">Брюки из лёгкого денима, черный</t>
        </is>
      </c>
      <c r="D369" t="inlineStr">
        <is>
          <t xml:space="preserve">PA42M03черный</t>
        </is>
      </c>
      <c r="E369" t="inlineStr">
        <is>
          <t xml:space="preserve">черный</t>
        </is>
      </c>
      <c r="F369" t="inlineStr">
        <is>
          <t xml:space="preserve">50/182</t>
        </is>
      </c>
      <c r="G369">
        <v>5</v>
      </c>
      <c r="H369" s="2">
        <v>58.0</v>
      </c>
      <c r="I369" t="inlineStr">
        <is>
          <t xml:space="preserve">Хлопок 98%, эластан 2%</t>
        </is>
      </c>
      <c r="J369" t="inlineStr">
        <is>
          <t xml:space="preserve">круглогодичный</t>
        </is>
      </c>
      <c r="K369" t="inlineStr">
        <is>
          <t xml:space="preserve">Бангладеш</t>
        </is>
      </c>
      <c r="L369" t="inlineStr">
        <is>
          <t xml:space="preserve">6203423500</t>
        </is>
      </c>
      <c r="M369" t="inlineStr">
        <is>
          <t xml:space="preserve">по запросу</t>
        </is>
      </c>
      <c r="N369"/>
      <c r="O369"/>
      <c r="P369" t="inlineStr">
        <is>
          <t xml:space="preserve">4816148111012</t>
        </is>
      </c>
      <c r="Q369" s="3" t="str">
        <f>HYPERLINK("https://modify.by/img/264200312/1.webp","фото")</f>
        <v>фото</v>
      </c>
      <c r="R369" s="3" t="str">
        <f>HYPERLINK("https://modify.by/catalog/dzhinsy/264200312/?utm_source=price&amp;utm_medium=xlsx","открыть")</f>
        <v>открыть</v>
      </c>
    </row>
    <row r="370">
      <c r="A370" t="inlineStr">
        <is>
          <t xml:space="preserve">Мужской</t>
        </is>
      </c>
      <c r="B370" t="inlineStr">
        <is>
          <t xml:space="preserve">Джинсы</t>
        </is>
      </c>
      <c r="C370" t="inlineStr">
        <is>
          <t xml:space="preserve">Джинсы карго плотный деним 100% хлопок, голубые джинсы</t>
        </is>
      </c>
      <c r="D370" t="inlineStr">
        <is>
          <t xml:space="preserve">JE62M01голубой</t>
        </is>
      </c>
      <c r="E370" t="inlineStr">
        <is>
          <t xml:space="preserve">голубые джинсы, голубой, джинс, деним</t>
        </is>
      </c>
      <c r="F370" t="inlineStr">
        <is>
          <t xml:space="preserve">46</t>
        </is>
      </c>
      <c r="G370">
        <v>7</v>
      </c>
      <c r="H370" s="2">
        <v>82.0</v>
      </c>
      <c r="I370" t="inlineStr">
        <is>
          <t xml:space="preserve">хлопок 100%</t>
        </is>
      </c>
      <c r="J370" t="inlineStr">
        <is>
          <t xml:space="preserve">Демисезон</t>
        </is>
      </c>
      <c r="K370" t="inlineStr">
        <is>
          <t xml:space="preserve">Бангладеш</t>
        </is>
      </c>
      <c r="L370" t="inlineStr">
        <is>
          <t xml:space="preserve">6203423100</t>
        </is>
      </c>
      <c r="M370" t="inlineStr">
        <is>
          <t xml:space="preserve">Декларация № ЕАЭС № BY/112 11.01. ТР017 122.01 08246, до 19.04.2028</t>
        </is>
      </c>
      <c r="N370" t="inlineStr">
        <is>
          <t xml:space="preserve">39 × 29 × 5</t>
        </is>
      </c>
      <c r="O370" t="inlineStr">
        <is>
          <t xml:space="preserve">0,85</t>
        </is>
      </c>
      <c r="P370" t="inlineStr">
        <is>
          <t xml:space="preserve">4816148175052</t>
        </is>
      </c>
      <c r="Q370" s="3" t="str">
        <f>HYPERLINK("https://modify.by/img/771637347/1.webp","фото")</f>
        <v>фото</v>
      </c>
      <c r="R370" s="3" t="str">
        <f>HYPERLINK("https://modify.by/catalog/dzhinsy/771637347/?utm_source=price&amp;utm_medium=xlsx","открыть")</f>
        <v>открыть</v>
      </c>
    </row>
    <row r="371">
      <c r="A371" t="inlineStr">
        <is>
          <t xml:space="preserve">Мужской</t>
        </is>
      </c>
      <c r="B371" t="inlineStr">
        <is>
          <t xml:space="preserve">Джинсы</t>
        </is>
      </c>
      <c r="C371" t="inlineStr">
        <is>
          <t xml:space="preserve">Джинсы карго плотный деним 100% хлопок, голубые джинсы</t>
        </is>
      </c>
      <c r="D371" t="inlineStr">
        <is>
          <t xml:space="preserve">JE62M01голубой</t>
        </is>
      </c>
      <c r="E371" t="inlineStr">
        <is>
          <t xml:space="preserve">голубые джинсы, голубой, джинс, деним</t>
        </is>
      </c>
      <c r="F371" t="inlineStr">
        <is>
          <t xml:space="preserve">48</t>
        </is>
      </c>
      <c r="G371">
        <v>12</v>
      </c>
      <c r="H371" s="2">
        <v>82.0</v>
      </c>
      <c r="I371" t="inlineStr">
        <is>
          <t xml:space="preserve">хлопок 100%</t>
        </is>
      </c>
      <c r="J371" t="inlineStr">
        <is>
          <t xml:space="preserve">Демисезон</t>
        </is>
      </c>
      <c r="K371" t="inlineStr">
        <is>
          <t xml:space="preserve">Бангладеш</t>
        </is>
      </c>
      <c r="L371" t="inlineStr">
        <is>
          <t xml:space="preserve">6203423100</t>
        </is>
      </c>
      <c r="M371" t="inlineStr">
        <is>
          <t xml:space="preserve">Декларация № ЕАЭС № BY/112 11.01. ТР017 122.01 08246, до 19.04.2028</t>
        </is>
      </c>
      <c r="N371" t="inlineStr">
        <is>
          <t xml:space="preserve">39 × 29 × 5</t>
        </is>
      </c>
      <c r="O371" t="inlineStr">
        <is>
          <t xml:space="preserve">0,85</t>
        </is>
      </c>
      <c r="P371" t="inlineStr">
        <is>
          <t xml:space="preserve">4816148175069</t>
        </is>
      </c>
      <c r="Q371" s="3" t="str">
        <f>HYPERLINK("https://modify.by/img/771637347/1.webp","фото")</f>
        <v>фото</v>
      </c>
      <c r="R371" s="3" t="str">
        <f>HYPERLINK("https://modify.by/catalog/dzhinsy/771637347/?utm_source=price&amp;utm_medium=xlsx","открыть")</f>
        <v>открыть</v>
      </c>
    </row>
    <row r="372">
      <c r="A372" t="inlineStr">
        <is>
          <t xml:space="preserve">Мужской</t>
        </is>
      </c>
      <c r="B372" t="inlineStr">
        <is>
          <t xml:space="preserve">Джинсы</t>
        </is>
      </c>
      <c r="C372" t="inlineStr">
        <is>
          <t xml:space="preserve">Джинсы карго плотный деним 100% хлопок, серый деним</t>
        </is>
      </c>
      <c r="D372" t="inlineStr">
        <is>
          <t xml:space="preserve">JE62M01темно-серый</t>
        </is>
      </c>
      <c r="E372" t="inlineStr">
        <is>
          <t xml:space="preserve">серый деним, графит, темно-серый</t>
        </is>
      </c>
      <c r="F372" t="inlineStr">
        <is>
          <t xml:space="preserve">44</t>
        </is>
      </c>
      <c r="G372">
        <v>3</v>
      </c>
      <c r="H372" s="2">
        <v>82.0</v>
      </c>
      <c r="I372" t="inlineStr">
        <is>
          <t xml:space="preserve">хлопок 100%</t>
        </is>
      </c>
      <c r="J372" t="inlineStr">
        <is>
          <t xml:space="preserve">Демисезон</t>
        </is>
      </c>
      <c r="K372" t="inlineStr">
        <is>
          <t xml:space="preserve">Бангладеш</t>
        </is>
      </c>
      <c r="L372" t="inlineStr">
        <is>
          <t xml:space="preserve">6203423100</t>
        </is>
      </c>
      <c r="M372" t="inlineStr">
        <is>
          <t xml:space="preserve">Декларация № ЕАЭС № BY/112 11.01. ТР017 122.01 08246, до 19.04.2028</t>
        </is>
      </c>
      <c r="N372" t="inlineStr">
        <is>
          <t xml:space="preserve">39 × 29 × 5</t>
        </is>
      </c>
      <c r="O372" t="inlineStr">
        <is>
          <t xml:space="preserve">0,85</t>
        </is>
      </c>
      <c r="P372" t="inlineStr">
        <is>
          <t xml:space="preserve">4816148174994</t>
        </is>
      </c>
      <c r="Q372" s="3" t="str">
        <f>HYPERLINK("https://modify.by/img/755728054/1.webp","фото")</f>
        <v>фото</v>
      </c>
      <c r="R372" s="3" t="str">
        <f>HYPERLINK("https://modify.by/catalog/dzhinsy/755728054/?utm_source=price&amp;utm_medium=xlsx","открыть")</f>
        <v>открыть</v>
      </c>
    </row>
    <row r="373">
      <c r="A373" t="inlineStr">
        <is>
          <t xml:space="preserve">Мужской</t>
        </is>
      </c>
      <c r="B373" t="inlineStr">
        <is>
          <t xml:space="preserve">Джинсы</t>
        </is>
      </c>
      <c r="C373" t="inlineStr">
        <is>
          <t xml:space="preserve">Джинсы карго плотный деним 100% хлопок, серый деним</t>
        </is>
      </c>
      <c r="D373" t="inlineStr">
        <is>
          <t xml:space="preserve">JE62M01темно-серый</t>
        </is>
      </c>
      <c r="E373" t="inlineStr">
        <is>
          <t xml:space="preserve">серый деним, графит, темно-серый</t>
        </is>
      </c>
      <c r="F373" t="inlineStr">
        <is>
          <t xml:space="preserve">46</t>
        </is>
      </c>
      <c r="G373">
        <v>10</v>
      </c>
      <c r="H373" s="2">
        <v>82.0</v>
      </c>
      <c r="I373" t="inlineStr">
        <is>
          <t xml:space="preserve">хлопок 100%</t>
        </is>
      </c>
      <c r="J373" t="inlineStr">
        <is>
          <t xml:space="preserve">Демисезон</t>
        </is>
      </c>
      <c r="K373" t="inlineStr">
        <is>
          <t xml:space="preserve">Бангладеш</t>
        </is>
      </c>
      <c r="L373" t="inlineStr">
        <is>
          <t xml:space="preserve">6203423100</t>
        </is>
      </c>
      <c r="M373" t="inlineStr">
        <is>
          <t xml:space="preserve">Декларация № ЕАЭС № BY/112 11.01. ТР017 122.01 08246, до 19.04.2028</t>
        </is>
      </c>
      <c r="N373" t="inlineStr">
        <is>
          <t xml:space="preserve">39 × 29 × 5</t>
        </is>
      </c>
      <c r="O373" t="inlineStr">
        <is>
          <t xml:space="preserve">0,85</t>
        </is>
      </c>
      <c r="P373" t="inlineStr">
        <is>
          <t xml:space="preserve">4816148175007</t>
        </is>
      </c>
      <c r="Q373" s="3" t="str">
        <f>HYPERLINK("https://modify.by/img/755728054/1.webp","фото")</f>
        <v>фото</v>
      </c>
      <c r="R373" s="3" t="str">
        <f>HYPERLINK("https://modify.by/catalog/dzhinsy/755728054/?utm_source=price&amp;utm_medium=xlsx","открыть")</f>
        <v>открыть</v>
      </c>
    </row>
    <row r="374">
      <c r="A374" t="inlineStr">
        <is>
          <t xml:space="preserve">Мужской</t>
        </is>
      </c>
      <c r="B374" t="inlineStr">
        <is>
          <t xml:space="preserve">Джинсы</t>
        </is>
      </c>
      <c r="C374" t="inlineStr">
        <is>
          <t xml:space="preserve">Джинсы карго плотный деним 100% хлопок, серый деним</t>
        </is>
      </c>
      <c r="D374" t="inlineStr">
        <is>
          <t xml:space="preserve">JE62M01темно-серый</t>
        </is>
      </c>
      <c r="E374" t="inlineStr">
        <is>
          <t xml:space="preserve">серый деним, графит, темно-серый</t>
        </is>
      </c>
      <c r="F374" t="inlineStr">
        <is>
          <t xml:space="preserve">48</t>
        </is>
      </c>
      <c r="G374">
        <v>10</v>
      </c>
      <c r="H374" s="2">
        <v>82.0</v>
      </c>
      <c r="I374" t="inlineStr">
        <is>
          <t xml:space="preserve">хлопок 100%</t>
        </is>
      </c>
      <c r="J374" t="inlineStr">
        <is>
          <t xml:space="preserve">Демисезон</t>
        </is>
      </c>
      <c r="K374" t="inlineStr">
        <is>
          <t xml:space="preserve">Бангладеш</t>
        </is>
      </c>
      <c r="L374" t="inlineStr">
        <is>
          <t xml:space="preserve">6203423100</t>
        </is>
      </c>
      <c r="M374" t="inlineStr">
        <is>
          <t xml:space="preserve">Декларация № ЕАЭС № BY/112 11.01. ТР017 122.01 08246, до 19.04.2028</t>
        </is>
      </c>
      <c r="N374" t="inlineStr">
        <is>
          <t xml:space="preserve">39 × 29 × 5</t>
        </is>
      </c>
      <c r="O374" t="inlineStr">
        <is>
          <t xml:space="preserve">0,85</t>
        </is>
      </c>
      <c r="P374" t="inlineStr">
        <is>
          <t xml:space="preserve">4816148175014</t>
        </is>
      </c>
      <c r="Q374" s="3" t="str">
        <f>HYPERLINK("https://modify.by/img/755728054/1.webp","фото")</f>
        <v>фото</v>
      </c>
      <c r="R374" s="3" t="str">
        <f>HYPERLINK("https://modify.by/catalog/dzhinsy/755728054/?utm_source=price&amp;utm_medium=xlsx","открыть")</f>
        <v>открыть</v>
      </c>
    </row>
    <row r="375">
      <c r="A375" t="inlineStr">
        <is>
          <t xml:space="preserve">Мужской</t>
        </is>
      </c>
      <c r="B375" t="inlineStr">
        <is>
          <t xml:space="preserve">Джинсы</t>
        </is>
      </c>
      <c r="C375" t="inlineStr">
        <is>
          <t xml:space="preserve">Джинсы карго плотный деним 100% хлопок, темно-синий джинсовый</t>
        </is>
      </c>
      <c r="D375" t="inlineStr">
        <is>
          <t xml:space="preserve">JE62M01синий</t>
        </is>
      </c>
      <c r="E375" t="inlineStr">
        <is>
          <t xml:space="preserve">темно-синий джинсовый, синий</t>
        </is>
      </c>
      <c r="F375" t="inlineStr">
        <is>
          <t xml:space="preserve">44</t>
        </is>
      </c>
      <c r="G375">
        <v>4</v>
      </c>
      <c r="H375" s="2">
        <v>82.0</v>
      </c>
      <c r="I375" t="inlineStr">
        <is>
          <t xml:space="preserve">100% хлопок</t>
        </is>
      </c>
      <c r="J375" t="inlineStr">
        <is>
          <t xml:space="preserve">Демисезон</t>
        </is>
      </c>
      <c r="K375" t="inlineStr">
        <is>
          <t xml:space="preserve">Бангладеш</t>
        </is>
      </c>
      <c r="L375" t="inlineStr">
        <is>
          <t xml:space="preserve">6203423100</t>
        </is>
      </c>
      <c r="M375" t="inlineStr">
        <is>
          <t xml:space="preserve">Декларация № ЕАЭС № BY/112 11.01. ТР017 122.01 08246, до 19.04.2028</t>
        </is>
      </c>
      <c r="N375" t="inlineStr">
        <is>
          <t xml:space="preserve">39 × 29 × 5</t>
        </is>
      </c>
      <c r="O375" t="inlineStr">
        <is>
          <t xml:space="preserve">0,85</t>
        </is>
      </c>
      <c r="P375" t="inlineStr">
        <is>
          <t xml:space="preserve">4816148174949</t>
        </is>
      </c>
      <c r="Q375" s="3" t="str">
        <f>HYPERLINK("https://modify.by/img/770823893/1.webp","фото")</f>
        <v>фото</v>
      </c>
      <c r="R375" s="3" t="str">
        <f>HYPERLINK("https://modify.by/catalog/dzhinsy/770823893/?utm_source=price&amp;utm_medium=xlsx","открыть")</f>
        <v>открыть</v>
      </c>
    </row>
    <row r="376">
      <c r="A376" t="inlineStr">
        <is>
          <t xml:space="preserve">Мужской</t>
        </is>
      </c>
      <c r="B376" t="inlineStr">
        <is>
          <t xml:space="preserve">Джинсы</t>
        </is>
      </c>
      <c r="C376" t="inlineStr">
        <is>
          <t xml:space="preserve">Джинсы карго плотный деним 100% хлопок, темно-синий джинсовый</t>
        </is>
      </c>
      <c r="D376" t="inlineStr">
        <is>
          <t xml:space="preserve">JE62M01синий</t>
        </is>
      </c>
      <c r="E376" t="inlineStr">
        <is>
          <t xml:space="preserve">темно-синий джинсовый, синий</t>
        </is>
      </c>
      <c r="F376" t="inlineStr">
        <is>
          <t xml:space="preserve">46</t>
        </is>
      </c>
      <c r="G376">
        <v>11</v>
      </c>
      <c r="H376" s="2">
        <v>82.0</v>
      </c>
      <c r="I376" t="inlineStr">
        <is>
          <t xml:space="preserve">100% хлопок</t>
        </is>
      </c>
      <c r="J376" t="inlineStr">
        <is>
          <t xml:space="preserve">Демисезон</t>
        </is>
      </c>
      <c r="K376" t="inlineStr">
        <is>
          <t xml:space="preserve">Бангладеш</t>
        </is>
      </c>
      <c r="L376" t="inlineStr">
        <is>
          <t xml:space="preserve">6203423100</t>
        </is>
      </c>
      <c r="M376" t="inlineStr">
        <is>
          <t xml:space="preserve">Декларация № ЕАЭС № BY/112 11.01. ТР017 122.01 08246, до 19.04.2028</t>
        </is>
      </c>
      <c r="N376" t="inlineStr">
        <is>
          <t xml:space="preserve">39 × 29 × 5</t>
        </is>
      </c>
      <c r="O376" t="inlineStr">
        <is>
          <t xml:space="preserve">0,85</t>
        </is>
      </c>
      <c r="P376" t="inlineStr">
        <is>
          <t xml:space="preserve">4816148174956</t>
        </is>
      </c>
      <c r="Q376" s="3" t="str">
        <f>HYPERLINK("https://modify.by/img/770823893/1.webp","фото")</f>
        <v>фото</v>
      </c>
      <c r="R376" s="3" t="str">
        <f>HYPERLINK("https://modify.by/catalog/dzhinsy/770823893/?utm_source=price&amp;utm_medium=xlsx","открыть")</f>
        <v>открыть</v>
      </c>
    </row>
    <row r="377">
      <c r="A377" t="inlineStr">
        <is>
          <t xml:space="preserve">Мужской</t>
        </is>
      </c>
      <c r="B377" t="inlineStr">
        <is>
          <t xml:space="preserve">Джинсы</t>
        </is>
      </c>
      <c r="C377" t="inlineStr">
        <is>
          <t xml:space="preserve">Джинсы карго плотный деним 100% хлопок, темно-синий джинсовый</t>
        </is>
      </c>
      <c r="D377" t="inlineStr">
        <is>
          <t xml:space="preserve">JE62M01синий</t>
        </is>
      </c>
      <c r="E377" t="inlineStr">
        <is>
          <t xml:space="preserve">темно-синий джинсовый, синий</t>
        </is>
      </c>
      <c r="F377" t="inlineStr">
        <is>
          <t xml:space="preserve">48</t>
        </is>
      </c>
      <c r="G377">
        <v>30</v>
      </c>
      <c r="H377" s="2">
        <v>82.0</v>
      </c>
      <c r="I377" t="inlineStr">
        <is>
          <t xml:space="preserve">100% хлопок</t>
        </is>
      </c>
      <c r="J377" t="inlineStr">
        <is>
          <t xml:space="preserve">Демисезон</t>
        </is>
      </c>
      <c r="K377" t="inlineStr">
        <is>
          <t xml:space="preserve">Бангладеш</t>
        </is>
      </c>
      <c r="L377" t="inlineStr">
        <is>
          <t xml:space="preserve">6203423100</t>
        </is>
      </c>
      <c r="M377" t="inlineStr">
        <is>
          <t xml:space="preserve">Декларация № ЕАЭС № BY/112 11.01. ТР017 122.01 08246, до 19.04.2028</t>
        </is>
      </c>
      <c r="N377" t="inlineStr">
        <is>
          <t xml:space="preserve">39 × 29 × 5</t>
        </is>
      </c>
      <c r="O377" t="inlineStr">
        <is>
          <t xml:space="preserve">0,85</t>
        </is>
      </c>
      <c r="P377" t="inlineStr">
        <is>
          <t xml:space="preserve">4816148174963</t>
        </is>
      </c>
      <c r="Q377" s="3" t="str">
        <f>HYPERLINK("https://modify.by/img/770823893/1.webp","фото")</f>
        <v>фото</v>
      </c>
      <c r="R377" s="3" t="str">
        <f>HYPERLINK("https://modify.by/catalog/dzhinsy/770823893/?utm_source=price&amp;utm_medium=xlsx","открыть")</f>
        <v>открыть</v>
      </c>
    </row>
    <row r="378">
      <c r="A378" t="inlineStr">
        <is>
          <t xml:space="preserve">Мужской</t>
        </is>
      </c>
      <c r="B378" t="inlineStr">
        <is>
          <t xml:space="preserve">Джинсы</t>
        </is>
      </c>
      <c r="C378" t="inlineStr">
        <is>
          <t xml:space="preserve">Джинсы карго плотный деним 100% хлопок, темно-синий джинсовый</t>
        </is>
      </c>
      <c r="D378" t="inlineStr">
        <is>
          <t xml:space="preserve">JE62M01синий</t>
        </is>
      </c>
      <c r="E378" t="inlineStr">
        <is>
          <t xml:space="preserve">темно-синий джинсовый, синий</t>
        </is>
      </c>
      <c r="F378" t="inlineStr">
        <is>
          <t xml:space="preserve">50</t>
        </is>
      </c>
      <c r="G378">
        <v>6</v>
      </c>
      <c r="H378" s="2">
        <v>82.0</v>
      </c>
      <c r="I378" t="inlineStr">
        <is>
          <t xml:space="preserve">100% хлопок</t>
        </is>
      </c>
      <c r="J378" t="inlineStr">
        <is>
          <t xml:space="preserve">Демисезон</t>
        </is>
      </c>
      <c r="K378" t="inlineStr">
        <is>
          <t xml:space="preserve">Бангладеш</t>
        </is>
      </c>
      <c r="L378" t="inlineStr">
        <is>
          <t xml:space="preserve">6203423100</t>
        </is>
      </c>
      <c r="M378" t="inlineStr">
        <is>
          <t xml:space="preserve">Декларация № ЕАЭС № BY/112 11.01. ТР017 122.01 08246, до 19.04.2028</t>
        </is>
      </c>
      <c r="N378" t="inlineStr">
        <is>
          <t xml:space="preserve">39 × 29 × 5</t>
        </is>
      </c>
      <c r="O378" t="inlineStr">
        <is>
          <t xml:space="preserve">0,85</t>
        </is>
      </c>
      <c r="P378" t="inlineStr">
        <is>
          <t xml:space="preserve">4816148174970</t>
        </is>
      </c>
      <c r="Q378" s="3" t="str">
        <f>HYPERLINK("https://modify.by/img/770823893/1.webp","фото")</f>
        <v>фото</v>
      </c>
      <c r="R378" s="3" t="str">
        <f>HYPERLINK("https://modify.by/catalog/dzhinsy/770823893/?utm_source=price&amp;utm_medium=xlsx","открыть")</f>
        <v>открыть</v>
      </c>
    </row>
    <row r="379">
      <c r="A379" t="inlineStr">
        <is>
          <t xml:space="preserve">Мужской</t>
        </is>
      </c>
      <c r="B379" t="inlineStr">
        <is>
          <t xml:space="preserve">Джинсы</t>
        </is>
      </c>
      <c r="C379" t="inlineStr">
        <is>
          <t xml:space="preserve">Джинсы карго плотный деним 100% хлопок, темно-синий джинсовый</t>
        </is>
      </c>
      <c r="D379" t="inlineStr">
        <is>
          <t xml:space="preserve">JE62M01синий</t>
        </is>
      </c>
      <c r="E379" t="inlineStr">
        <is>
          <t xml:space="preserve">темно-синий джинсовый, синий</t>
        </is>
      </c>
      <c r="F379" t="inlineStr">
        <is>
          <t xml:space="preserve">52</t>
        </is>
      </c>
      <c r="G379">
        <v>2</v>
      </c>
      <c r="H379" s="2">
        <v>82.0</v>
      </c>
      <c r="I379" t="inlineStr">
        <is>
          <t xml:space="preserve">100% хлопок</t>
        </is>
      </c>
      <c r="J379" t="inlineStr">
        <is>
          <t xml:space="preserve">Демисезон</t>
        </is>
      </c>
      <c r="K379" t="inlineStr">
        <is>
          <t xml:space="preserve">Бангладеш</t>
        </is>
      </c>
      <c r="L379" t="inlineStr">
        <is>
          <t xml:space="preserve">6203423100</t>
        </is>
      </c>
      <c r="M379" t="inlineStr">
        <is>
          <t xml:space="preserve">Декларация № ЕАЭС № BY/112 11.01. ТР017 122.01 08246, до 19.04.2028</t>
        </is>
      </c>
      <c r="N379" t="inlineStr">
        <is>
          <t xml:space="preserve">39 × 29 × 5</t>
        </is>
      </c>
      <c r="O379" t="inlineStr">
        <is>
          <t xml:space="preserve">0,85</t>
        </is>
      </c>
      <c r="P379" t="inlineStr">
        <is>
          <t xml:space="preserve">4816148174987</t>
        </is>
      </c>
      <c r="Q379" s="3" t="str">
        <f>HYPERLINK("https://modify.by/img/770823893/1.webp","фото")</f>
        <v>фото</v>
      </c>
      <c r="R379" s="3" t="str">
        <f>HYPERLINK("https://modify.by/catalog/dzhinsy/770823893/?utm_source=price&amp;utm_medium=xlsx","открыть")</f>
        <v>открыть</v>
      </c>
    </row>
    <row r="380">
      <c r="A380" t="inlineStr">
        <is>
          <t xml:space="preserve">Мужской</t>
        </is>
      </c>
      <c r="B380" t="inlineStr">
        <is>
          <t xml:space="preserve">Джинсы</t>
        </is>
      </c>
      <c r="C380" t="inlineStr">
        <is>
          <t xml:space="preserve">Джинсы карго плотный деним 100% хлопок, черный</t>
        </is>
      </c>
      <c r="D380" t="inlineStr">
        <is>
          <t xml:space="preserve">JE62M01черный</t>
        </is>
      </c>
      <c r="E380" t="inlineStr">
        <is>
          <t xml:space="preserve">черный</t>
        </is>
      </c>
      <c r="F380" t="inlineStr">
        <is>
          <t xml:space="preserve">44</t>
        </is>
      </c>
      <c r="G380">
        <v>2</v>
      </c>
      <c r="H380" s="2">
        <v>82.0</v>
      </c>
      <c r="I380" t="inlineStr">
        <is>
          <t xml:space="preserve">100% хлопок</t>
        </is>
      </c>
      <c r="J380" t="inlineStr">
        <is>
          <t xml:space="preserve">Демисезон</t>
        </is>
      </c>
      <c r="K380" t="inlineStr">
        <is>
          <t xml:space="preserve">Бангладеш</t>
        </is>
      </c>
      <c r="L380" t="inlineStr">
        <is>
          <t xml:space="preserve">6203423100</t>
        </is>
      </c>
      <c r="M380" t="inlineStr">
        <is>
          <t xml:space="preserve">Декларация № ЕАЭС № BY/112 11.01. ТР017 122.01 08246, до 19.04.2028</t>
        </is>
      </c>
      <c r="N380" t="inlineStr">
        <is>
          <t xml:space="preserve">39 × 29 × 5</t>
        </is>
      </c>
      <c r="O380" t="inlineStr">
        <is>
          <t xml:space="preserve">0,85</t>
        </is>
      </c>
      <c r="P380" t="inlineStr">
        <is>
          <t xml:space="preserve">4816148174840</t>
        </is>
      </c>
      <c r="Q380" s="3" t="str">
        <f>HYPERLINK("https://modify.by/img/770823892/1.webp","фото")</f>
        <v>фото</v>
      </c>
      <c r="R380" s="3" t="str">
        <f>HYPERLINK("https://modify.by/catalog/dzhinsy/770823892/?utm_source=price&amp;utm_medium=xlsx","открыть")</f>
        <v>открыть</v>
      </c>
    </row>
    <row r="381">
      <c r="A381" t="inlineStr">
        <is>
          <t xml:space="preserve">Мужской</t>
        </is>
      </c>
      <c r="B381" t="inlineStr">
        <is>
          <t xml:space="preserve">Джинсы</t>
        </is>
      </c>
      <c r="C381" t="inlineStr">
        <is>
          <t xml:space="preserve">Джинсы карго плотный деним 100% хлопок, черный</t>
        </is>
      </c>
      <c r="D381" t="inlineStr">
        <is>
          <t xml:space="preserve">JE62M01черный</t>
        </is>
      </c>
      <c r="E381" t="inlineStr">
        <is>
          <t xml:space="preserve">черный</t>
        </is>
      </c>
      <c r="F381" t="inlineStr">
        <is>
          <t xml:space="preserve">46</t>
        </is>
      </c>
      <c r="G381">
        <v>12</v>
      </c>
      <c r="H381" s="2">
        <v>82.0</v>
      </c>
      <c r="I381" t="inlineStr">
        <is>
          <t xml:space="preserve">100% хлопок</t>
        </is>
      </c>
      <c r="J381" t="inlineStr">
        <is>
          <t xml:space="preserve">Демисезон</t>
        </is>
      </c>
      <c r="K381" t="inlineStr">
        <is>
          <t xml:space="preserve">Бангладеш</t>
        </is>
      </c>
      <c r="L381" t="inlineStr">
        <is>
          <t xml:space="preserve">6203423100</t>
        </is>
      </c>
      <c r="M381" t="inlineStr">
        <is>
          <t xml:space="preserve">Декларация № ЕАЭС № BY/112 11.01. ТР017 122.01 08246, до 19.04.2028</t>
        </is>
      </c>
      <c r="N381" t="inlineStr">
        <is>
          <t xml:space="preserve">39 × 29 × 5</t>
        </is>
      </c>
      <c r="O381" t="inlineStr">
        <is>
          <t xml:space="preserve">0,85</t>
        </is>
      </c>
      <c r="P381" t="inlineStr">
        <is>
          <t xml:space="preserve">4816148174857</t>
        </is>
      </c>
      <c r="Q381" s="3" t="str">
        <f>HYPERLINK("https://modify.by/img/770823892/1.webp","фото")</f>
        <v>фото</v>
      </c>
      <c r="R381" s="3" t="str">
        <f>HYPERLINK("https://modify.by/catalog/dzhinsy/770823892/?utm_source=price&amp;utm_medium=xlsx","открыть")</f>
        <v>открыть</v>
      </c>
    </row>
    <row r="382">
      <c r="A382" t="inlineStr">
        <is>
          <t xml:space="preserve">Мужской</t>
        </is>
      </c>
      <c r="B382" t="inlineStr">
        <is>
          <t xml:space="preserve">Джинсы</t>
        </is>
      </c>
      <c r="C382" t="inlineStr">
        <is>
          <t xml:space="preserve">Джинсы карго плотный деним 100% хлопок, черный</t>
        </is>
      </c>
      <c r="D382" t="inlineStr">
        <is>
          <t xml:space="preserve">JE62M01черный</t>
        </is>
      </c>
      <c r="E382" t="inlineStr">
        <is>
          <t xml:space="preserve">черный</t>
        </is>
      </c>
      <c r="F382" t="inlineStr">
        <is>
          <t xml:space="preserve">48</t>
        </is>
      </c>
      <c r="G382">
        <v>26</v>
      </c>
      <c r="H382" s="2">
        <v>82.0</v>
      </c>
      <c r="I382" t="inlineStr">
        <is>
          <t xml:space="preserve">100% хлопок</t>
        </is>
      </c>
      <c r="J382" t="inlineStr">
        <is>
          <t xml:space="preserve">Демисезон</t>
        </is>
      </c>
      <c r="K382" t="inlineStr">
        <is>
          <t xml:space="preserve">Бангладеш</t>
        </is>
      </c>
      <c r="L382" t="inlineStr">
        <is>
          <t xml:space="preserve">6203423100</t>
        </is>
      </c>
      <c r="M382" t="inlineStr">
        <is>
          <t xml:space="preserve">Декларация № ЕАЭС № BY/112 11.01. ТР017 122.01 08246, до 19.04.2028</t>
        </is>
      </c>
      <c r="N382" t="inlineStr">
        <is>
          <t xml:space="preserve">39 × 29 × 5</t>
        </is>
      </c>
      <c r="O382" t="inlineStr">
        <is>
          <t xml:space="preserve">0,85</t>
        </is>
      </c>
      <c r="P382" t="inlineStr">
        <is>
          <t xml:space="preserve">4816148174864</t>
        </is>
      </c>
      <c r="Q382" s="3" t="str">
        <f>HYPERLINK("https://modify.by/img/770823892/1.webp","фото")</f>
        <v>фото</v>
      </c>
      <c r="R382" s="3" t="str">
        <f>HYPERLINK("https://modify.by/catalog/dzhinsy/770823892/?utm_source=price&amp;utm_medium=xlsx","открыть")</f>
        <v>открыть</v>
      </c>
    </row>
    <row r="383">
      <c r="A383" t="inlineStr">
        <is>
          <t xml:space="preserve">Мужской</t>
        </is>
      </c>
      <c r="B383" t="inlineStr">
        <is>
          <t xml:space="preserve">Джинсы</t>
        </is>
      </c>
      <c r="C383" t="inlineStr">
        <is>
          <t xml:space="preserve">Джинсы карго плотный деним 100% хлопок, черный</t>
        </is>
      </c>
      <c r="D383" t="inlineStr">
        <is>
          <t xml:space="preserve">JE62M01черный</t>
        </is>
      </c>
      <c r="E383" t="inlineStr">
        <is>
          <t xml:space="preserve">черный</t>
        </is>
      </c>
      <c r="F383" t="inlineStr">
        <is>
          <t xml:space="preserve">50</t>
        </is>
      </c>
      <c r="G383">
        <v>5</v>
      </c>
      <c r="H383" s="2">
        <v>82.0</v>
      </c>
      <c r="I383" t="inlineStr">
        <is>
          <t xml:space="preserve">100% хлопок</t>
        </is>
      </c>
      <c r="J383" t="inlineStr">
        <is>
          <t xml:space="preserve">Демисезон</t>
        </is>
      </c>
      <c r="K383" t="inlineStr">
        <is>
          <t xml:space="preserve">Бангладеш</t>
        </is>
      </c>
      <c r="L383" t="inlineStr">
        <is>
          <t xml:space="preserve">6203423100</t>
        </is>
      </c>
      <c r="M383" t="inlineStr">
        <is>
          <t xml:space="preserve">Декларация № ЕАЭС № BY/112 11.01. ТР017 122.01 08246, до 19.04.2028</t>
        </is>
      </c>
      <c r="N383" t="inlineStr">
        <is>
          <t xml:space="preserve">39 × 29 × 5</t>
        </is>
      </c>
      <c r="O383" t="inlineStr">
        <is>
          <t xml:space="preserve">0,85</t>
        </is>
      </c>
      <c r="P383" t="inlineStr">
        <is>
          <t xml:space="preserve">4816148174871</t>
        </is>
      </c>
      <c r="Q383" s="3" t="str">
        <f>HYPERLINK("https://modify.by/img/770823892/1.webp","фото")</f>
        <v>фото</v>
      </c>
      <c r="R383" s="3" t="str">
        <f>HYPERLINK("https://modify.by/catalog/dzhinsy/770823892/?utm_source=price&amp;utm_medium=xlsx","открыть")</f>
        <v>открыть</v>
      </c>
    </row>
    <row r="384">
      <c r="A384" t="inlineStr">
        <is>
          <t xml:space="preserve">Мужской</t>
        </is>
      </c>
      <c r="B384" t="inlineStr">
        <is>
          <t xml:space="preserve">Джинсы</t>
        </is>
      </c>
      <c r="C384" t="inlineStr">
        <is>
          <t xml:space="preserve">Джинсы карго плотный деним 100% хлопок, черный</t>
        </is>
      </c>
      <c r="D384" t="inlineStr">
        <is>
          <t xml:space="preserve">JE62M01черный</t>
        </is>
      </c>
      <c r="E384" t="inlineStr">
        <is>
          <t xml:space="preserve">черный</t>
        </is>
      </c>
      <c r="F384" t="inlineStr">
        <is>
          <t xml:space="preserve">52</t>
        </is>
      </c>
      <c r="G384">
        <v>2</v>
      </c>
      <c r="H384" s="2">
        <v>82.0</v>
      </c>
      <c r="I384" t="inlineStr">
        <is>
          <t xml:space="preserve">100% хлопок</t>
        </is>
      </c>
      <c r="J384" t="inlineStr">
        <is>
          <t xml:space="preserve">Демисезон</t>
        </is>
      </c>
      <c r="K384" t="inlineStr">
        <is>
          <t xml:space="preserve">Бангладеш</t>
        </is>
      </c>
      <c r="L384" t="inlineStr">
        <is>
          <t xml:space="preserve">6203423100</t>
        </is>
      </c>
      <c r="M384" t="inlineStr">
        <is>
          <t xml:space="preserve">Декларация № ЕАЭС № BY/112 11.01. ТР017 122.01 08246, до 19.04.2028</t>
        </is>
      </c>
      <c r="N384" t="inlineStr">
        <is>
          <t xml:space="preserve">39 × 29 × 5</t>
        </is>
      </c>
      <c r="O384" t="inlineStr">
        <is>
          <t xml:space="preserve">0,85</t>
        </is>
      </c>
      <c r="P384" t="inlineStr">
        <is>
          <t xml:space="preserve">4816148174888</t>
        </is>
      </c>
      <c r="Q384" s="3" t="str">
        <f>HYPERLINK("https://modify.by/img/770823892/1.webp","фото")</f>
        <v>фото</v>
      </c>
      <c r="R384" s="3" t="str">
        <f>HYPERLINK("https://modify.by/catalog/dzhinsy/770823892/?utm_source=price&amp;utm_medium=xlsx","открыть")</f>
        <v>открыть</v>
      </c>
    </row>
    <row r="385">
      <c r="A385" t="inlineStr">
        <is>
          <t xml:space="preserve">Мужской</t>
        </is>
      </c>
      <c r="B385" t="inlineStr">
        <is>
          <t xml:space="preserve">Джинсы</t>
        </is>
      </c>
      <c r="C385" t="inlineStr">
        <is>
          <t xml:space="preserve">Джинсы прямые классические светлые хлопок 98%, песочный</t>
        </is>
      </c>
      <c r="D385" t="inlineStr">
        <is>
          <t xml:space="preserve">PA42M04песочный</t>
        </is>
      </c>
      <c r="E385" t="inlineStr">
        <is>
          <t xml:space="preserve">песочный</t>
        </is>
      </c>
      <c r="F385" t="inlineStr">
        <is>
          <t xml:space="preserve">48-182</t>
        </is>
      </c>
      <c r="G385">
        <v>31</v>
      </c>
      <c r="H385" s="2">
        <v>51.0</v>
      </c>
      <c r="I385" t="inlineStr">
        <is>
          <t xml:space="preserve">Хлопок 98%, Эластан 2%</t>
        </is>
      </c>
      <c r="J385" t="inlineStr">
        <is>
          <t xml:space="preserve">демисезон</t>
        </is>
      </c>
      <c r="K385" t="inlineStr">
        <is>
          <t xml:space="preserve">Бангладеш</t>
        </is>
      </c>
      <c r="L385" t="inlineStr">
        <is>
          <t xml:space="preserve">6203423500</t>
        </is>
      </c>
      <c r="M385" t="inlineStr">
        <is>
          <t xml:space="preserve">Декларация № ЕАЭС № BY/112 11.01. ТР017 122.01 08246, до 19.04.2028</t>
        </is>
      </c>
      <c r="N385" t="inlineStr">
        <is>
          <t xml:space="preserve">34 × 25 × 2</t>
        </is>
      </c>
      <c r="O385" t="inlineStr">
        <is>
          <t xml:space="preserve">0,35</t>
        </is>
      </c>
      <c r="P385" t="inlineStr">
        <is>
          <t xml:space="preserve">4816148112545</t>
        </is>
      </c>
      <c r="Q385" s="3" t="str">
        <f>HYPERLINK("https://modify.by/img/245489431/1.webp","фото")</f>
        <v>фото</v>
      </c>
      <c r="R385" s="3" t="str">
        <f>HYPERLINK("https://modify.by/catalog/dzhinsy/245489431/?utm_source=price&amp;utm_medium=xlsx","открыть")</f>
        <v>открыть</v>
      </c>
    </row>
    <row r="386">
      <c r="A386" t="inlineStr">
        <is>
          <t xml:space="preserve">Мужской</t>
        </is>
      </c>
      <c r="B386" t="inlineStr">
        <is>
          <t xml:space="preserve">Джинсы</t>
        </is>
      </c>
      <c r="C386" t="inlineStr">
        <is>
          <t xml:space="preserve">Джинсы прямые классические светлые хлопок 98%, песочный</t>
        </is>
      </c>
      <c r="D386" t="inlineStr">
        <is>
          <t xml:space="preserve">PA42M04песочный</t>
        </is>
      </c>
      <c r="E386" t="inlineStr">
        <is>
          <t xml:space="preserve">песочный</t>
        </is>
      </c>
      <c r="F386" t="inlineStr">
        <is>
          <t xml:space="preserve">50-182</t>
        </is>
      </c>
      <c r="G386">
        <v>4</v>
      </c>
      <c r="H386" s="2">
        <v>51.0</v>
      </c>
      <c r="I386" t="inlineStr">
        <is>
          <t xml:space="preserve">Хлопок 98%, Эластан 2%</t>
        </is>
      </c>
      <c r="J386" t="inlineStr">
        <is>
          <t xml:space="preserve">демисезон</t>
        </is>
      </c>
      <c r="K386" t="inlineStr">
        <is>
          <t xml:space="preserve">Бангладеш</t>
        </is>
      </c>
      <c r="L386" t="inlineStr">
        <is>
          <t xml:space="preserve">6203423500</t>
        </is>
      </c>
      <c r="M386" t="inlineStr">
        <is>
          <t xml:space="preserve">Декларация № ЕАЭС № BY/112 11.01. ТР017 122.01 08246, до 19.04.2028</t>
        </is>
      </c>
      <c r="N386" t="inlineStr">
        <is>
          <t xml:space="preserve">34 × 25 × 2</t>
        </is>
      </c>
      <c r="O386" t="inlineStr">
        <is>
          <t xml:space="preserve">0,35</t>
        </is>
      </c>
      <c r="P386" t="inlineStr">
        <is>
          <t xml:space="preserve">4816148112552</t>
        </is>
      </c>
      <c r="Q386" s="3" t="str">
        <f>HYPERLINK("https://modify.by/img/245489431/1.webp","фото")</f>
        <v>фото</v>
      </c>
      <c r="R386" s="3" t="str">
        <f>HYPERLINK("https://modify.by/catalog/dzhinsy/245489431/?utm_source=price&amp;utm_medium=xlsx","открыть")</f>
        <v>открыть</v>
      </c>
    </row>
    <row r="387">
      <c r="A387" t="inlineStr">
        <is>
          <t xml:space="preserve">Мужской</t>
        </is>
      </c>
      <c r="B387" t="inlineStr">
        <is>
          <t xml:space="preserve">Джинсы</t>
        </is>
      </c>
      <c r="C387" t="inlineStr">
        <is>
          <t xml:space="preserve">Джинсы прямые классические светлые хлопок 98%, серый</t>
        </is>
      </c>
      <c r="D387" t="inlineStr">
        <is>
          <t xml:space="preserve">PA42M04серый</t>
        </is>
      </c>
      <c r="E387" t="inlineStr">
        <is>
          <t xml:space="preserve">серый, коричнево-серый</t>
        </is>
      </c>
      <c r="F387" t="inlineStr">
        <is>
          <t xml:space="preserve">46</t>
        </is>
      </c>
      <c r="G387">
        <v>27</v>
      </c>
      <c r="H387" s="2">
        <v>51.0</v>
      </c>
      <c r="I387" t="inlineStr">
        <is>
          <t xml:space="preserve">Хлопок 98%, Эластан 2%</t>
        </is>
      </c>
      <c r="J387" t="inlineStr">
        <is>
          <t xml:space="preserve">демисезон</t>
        </is>
      </c>
      <c r="K387"/>
      <c r="L387" t="inlineStr">
        <is>
          <t xml:space="preserve">6203423500</t>
        </is>
      </c>
      <c r="M387" t="inlineStr">
        <is>
          <t xml:space="preserve">Декларация № ЕАЭС № BY/112 11.01. ТР017 122.01 08246, до 19.04.2028</t>
        </is>
      </c>
      <c r="N387" t="inlineStr">
        <is>
          <t xml:space="preserve">34 × 25 × 2</t>
        </is>
      </c>
      <c r="O387" t="inlineStr">
        <is>
          <t xml:space="preserve">0,35</t>
        </is>
      </c>
      <c r="P387" t="inlineStr">
        <is>
          <t xml:space="preserve">4816148112590</t>
        </is>
      </c>
      <c r="Q387" s="3" t="str">
        <f>HYPERLINK("https://modify.by/img/245489432/1.webp","фото")</f>
        <v>фото</v>
      </c>
      <c r="R387" s="3" t="str">
        <f>HYPERLINK("https://modify.by/catalog/dzhinsy/245489432/?utm_source=price&amp;utm_medium=xlsx","открыть")</f>
        <v>открыть</v>
      </c>
    </row>
    <row r="388">
      <c r="A388" t="inlineStr">
        <is>
          <t xml:space="preserve">Мужской</t>
        </is>
      </c>
      <c r="B388" t="inlineStr">
        <is>
          <t xml:space="preserve">Джинсы</t>
        </is>
      </c>
      <c r="C388" t="inlineStr">
        <is>
          <t xml:space="preserve">Джинсы прямые классические светлые хлопок 98%, серый</t>
        </is>
      </c>
      <c r="D388" t="inlineStr">
        <is>
          <t xml:space="preserve">PA42M04серый</t>
        </is>
      </c>
      <c r="E388" t="inlineStr">
        <is>
          <t xml:space="preserve">серый, коричнево-серый</t>
        </is>
      </c>
      <c r="F388" t="inlineStr">
        <is>
          <t xml:space="preserve">48</t>
        </is>
      </c>
      <c r="G388">
        <v>45</v>
      </c>
      <c r="H388" s="2">
        <v>51.0</v>
      </c>
      <c r="I388" t="inlineStr">
        <is>
          <t xml:space="preserve">Хлопок 98%, Эластан 2%</t>
        </is>
      </c>
      <c r="J388" t="inlineStr">
        <is>
          <t xml:space="preserve">демисезон</t>
        </is>
      </c>
      <c r="K388"/>
      <c r="L388" t="inlineStr">
        <is>
          <t xml:space="preserve">6203423500</t>
        </is>
      </c>
      <c r="M388" t="inlineStr">
        <is>
          <t xml:space="preserve">Декларация № ЕАЭС № BY/112 11.01. ТР017 122.01 08246, до 19.04.2028</t>
        </is>
      </c>
      <c r="N388" t="inlineStr">
        <is>
          <t xml:space="preserve">34 × 25 × 2</t>
        </is>
      </c>
      <c r="O388" t="inlineStr">
        <is>
          <t xml:space="preserve">0,35</t>
        </is>
      </c>
      <c r="P388" t="inlineStr">
        <is>
          <t xml:space="preserve">4816148112606</t>
        </is>
      </c>
      <c r="Q388" s="3" t="str">
        <f>HYPERLINK("https://modify.by/img/245489432/1.webp","фото")</f>
        <v>фото</v>
      </c>
      <c r="R388" s="3" t="str">
        <f>HYPERLINK("https://modify.by/catalog/dzhinsy/245489432/?utm_source=price&amp;utm_medium=xlsx","открыть")</f>
        <v>открыть</v>
      </c>
    </row>
    <row r="389">
      <c r="A389" t="inlineStr">
        <is>
          <t xml:space="preserve">Мужской</t>
        </is>
      </c>
      <c r="B389" t="inlineStr">
        <is>
          <t xml:space="preserve">Джинсы</t>
        </is>
      </c>
      <c r="C389" t="inlineStr">
        <is>
          <t xml:space="preserve">Джинсы прямые классические светлые хлопок 98%, серый</t>
        </is>
      </c>
      <c r="D389" t="inlineStr">
        <is>
          <t xml:space="preserve">PA42M04серый</t>
        </is>
      </c>
      <c r="E389" t="inlineStr">
        <is>
          <t xml:space="preserve">серый, коричнево-серый</t>
        </is>
      </c>
      <c r="F389" t="inlineStr">
        <is>
          <t xml:space="preserve">50-176</t>
        </is>
      </c>
      <c r="G389">
        <v>17</v>
      </c>
      <c r="H389" s="2">
        <v>51.0</v>
      </c>
      <c r="I389" t="inlineStr">
        <is>
          <t xml:space="preserve">Хлопок 98%, Эластан 2%</t>
        </is>
      </c>
      <c r="J389" t="inlineStr">
        <is>
          <t xml:space="preserve">демисезон</t>
        </is>
      </c>
      <c r="K389"/>
      <c r="L389" t="inlineStr">
        <is>
          <t xml:space="preserve">6203423500</t>
        </is>
      </c>
      <c r="M389" t="inlineStr">
        <is>
          <t xml:space="preserve">Декларация № ЕАЭС № BY/112 11.01. ТР017 122.01 08246, до 19.04.2028</t>
        </is>
      </c>
      <c r="N389" t="inlineStr">
        <is>
          <t xml:space="preserve">34 × 25 × 2</t>
        </is>
      </c>
      <c r="O389" t="inlineStr">
        <is>
          <t xml:space="preserve">0,35</t>
        </is>
      </c>
      <c r="P389" t="inlineStr">
        <is>
          <t xml:space="preserve">4816148112613</t>
        </is>
      </c>
      <c r="Q389" s="3" t="str">
        <f>HYPERLINK("https://modify.by/img/245489432/1.webp","фото")</f>
        <v>фото</v>
      </c>
      <c r="R389" s="3" t="str">
        <f>HYPERLINK("https://modify.by/catalog/dzhinsy/245489432/?utm_source=price&amp;utm_medium=xlsx","открыть")</f>
        <v>открыть</v>
      </c>
    </row>
    <row r="390">
      <c r="A390" t="inlineStr">
        <is>
          <t xml:space="preserve">Мужской</t>
        </is>
      </c>
      <c r="B390" t="inlineStr">
        <is>
          <t xml:space="preserve">Кофты</t>
        </is>
      </c>
      <c r="C390" t="inlineStr">
        <is>
          <t xml:space="preserve">Кофта свитер с горлом на молнии</t>
        </is>
      </c>
      <c r="D390" t="inlineStr">
        <is>
          <t xml:space="preserve">SW22W12Темно-синий</t>
        </is>
      </c>
      <c r="E390" t="inlineStr">
        <is>
          <t xml:space="preserve">темно-синий</t>
        </is>
      </c>
      <c r="F390" t="inlineStr">
        <is>
          <t xml:space="preserve">46</t>
        </is>
      </c>
      <c r="G390">
        <v>1</v>
      </c>
      <c r="H390" s="2">
        <v>28.0</v>
      </c>
      <c r="I390" t="inlineStr">
        <is>
          <t xml:space="preserve">хлопок 88% полиамид 12%</t>
        </is>
      </c>
      <c r="J390"/>
      <c r="K390" t="inlineStr">
        <is>
          <t xml:space="preserve">Бангладеш</t>
        </is>
      </c>
      <c r="L390" t="inlineStr">
        <is>
          <t xml:space="preserve">6110209100</t>
        </is>
      </c>
      <c r="M390" t="inlineStr">
        <is>
          <t xml:space="preserve">Декларация № ЕАЭС № BY/112 11.01. ТР017 122.01 08246, до 19.04.2028</t>
        </is>
      </c>
      <c r="N390" t="inlineStr">
        <is>
          <t xml:space="preserve">24 × 6 × 20</t>
        </is>
      </c>
      <c r="O390" t="inlineStr">
        <is>
          <t xml:space="preserve">0,65</t>
        </is>
      </c>
      <c r="P390" t="inlineStr">
        <is>
          <t xml:space="preserve">2016957034072</t>
        </is>
      </c>
      <c r="Q390" s="3" t="str">
        <f>HYPERLINK("https://modify.by/img/97753784/1.webp","фото")</f>
        <v>фото</v>
      </c>
      <c r="R390" s="3" t="str">
        <f>HYPERLINK("https://modify.by/catalog/kofty/97753784/?utm_source=price&amp;utm_medium=xlsx","открыть")</f>
        <v>открыть</v>
      </c>
    </row>
    <row r="391">
      <c r="A391" t="inlineStr">
        <is>
          <t xml:space="preserve">Мужской</t>
        </is>
      </c>
      <c r="B391" t="inlineStr">
        <is>
          <t xml:space="preserve">Кофты</t>
        </is>
      </c>
      <c r="C391" t="inlineStr">
        <is>
          <t xml:space="preserve">Кофта свитер с горлом на молнии</t>
        </is>
      </c>
      <c r="D391" t="inlineStr">
        <is>
          <t xml:space="preserve">SW22W12Темно-синий</t>
        </is>
      </c>
      <c r="E391" t="inlineStr">
        <is>
          <t xml:space="preserve">темно-синий</t>
        </is>
      </c>
      <c r="F391" t="inlineStr">
        <is>
          <t xml:space="preserve">46</t>
        </is>
      </c>
      <c r="G391">
        <v>1</v>
      </c>
      <c r="H391" s="2">
        <v>28.0</v>
      </c>
      <c r="I391" t="inlineStr">
        <is>
          <t xml:space="preserve">хлопок 88% полиамид 12%</t>
        </is>
      </c>
      <c r="J391"/>
      <c r="K391" t="inlineStr">
        <is>
          <t xml:space="preserve">Бангладеш</t>
        </is>
      </c>
      <c r="L391" t="inlineStr">
        <is>
          <t xml:space="preserve">6110209100</t>
        </is>
      </c>
      <c r="M391" t="inlineStr">
        <is>
          <t xml:space="preserve">Декларация № ЕАЭС № BY/112 11.01. ТР017 122.01 08246, до 19.04.2028</t>
        </is>
      </c>
      <c r="N391" t="inlineStr">
        <is>
          <t xml:space="preserve">24 × 6 × 20</t>
        </is>
      </c>
      <c r="O391" t="inlineStr">
        <is>
          <t xml:space="preserve">0,65</t>
        </is>
      </c>
      <c r="P391" t="inlineStr">
        <is>
          <t xml:space="preserve">4816148176486</t>
        </is>
      </c>
      <c r="Q391" s="3" t="str">
        <f>HYPERLINK("https://modify.by/img/97753784/1.webp","фото")</f>
        <v>фото</v>
      </c>
      <c r="R391" s="3" t="str">
        <f>HYPERLINK("https://modify.by/catalog/kofty/97753784/?utm_source=price&amp;utm_medium=xlsx","открыть")</f>
        <v>открыть</v>
      </c>
    </row>
    <row r="392">
      <c r="A392" t="inlineStr">
        <is>
          <t xml:space="preserve">Мужской</t>
        </is>
      </c>
      <c r="B392" t="inlineStr">
        <is>
          <t xml:space="preserve">Кофты</t>
        </is>
      </c>
      <c r="C392" t="inlineStr">
        <is>
          <t xml:space="preserve">Свитер с воротником на молнии</t>
        </is>
      </c>
      <c r="D392" t="inlineStr">
        <is>
          <t xml:space="preserve">SW42M10темно-синий</t>
        </is>
      </c>
      <c r="E392" t="inlineStr">
        <is>
          <t xml:space="preserve">темно-синий</t>
        </is>
      </c>
      <c r="F392" t="inlineStr">
        <is>
          <t xml:space="preserve">52</t>
        </is>
      </c>
      <c r="G392">
        <v>19</v>
      </c>
      <c r="H392" s="2">
        <v>35.0</v>
      </c>
      <c r="I392" t="inlineStr">
        <is>
          <t xml:space="preserve">100% акрил</t>
        </is>
      </c>
      <c r="J392" t="inlineStr">
        <is>
          <t xml:space="preserve">демисезон</t>
        </is>
      </c>
      <c r="K392" t="inlineStr">
        <is>
          <t xml:space="preserve">Бангладеш</t>
        </is>
      </c>
      <c r="L392" t="inlineStr">
        <is>
          <t xml:space="preserve">6110209100</t>
        </is>
      </c>
      <c r="M392" t="inlineStr">
        <is>
          <t xml:space="preserve">Декларация № ЕАЭС № BY/112 11.01. ТР017 122.01 08246, до 19.04.2028</t>
        </is>
      </c>
      <c r="N392" t="inlineStr">
        <is>
          <t xml:space="preserve">35 × 25 × 3</t>
        </is>
      </c>
      <c r="O392" t="inlineStr">
        <is>
          <t xml:space="preserve">0,45</t>
        </is>
      </c>
      <c r="P392" t="inlineStr">
        <is>
          <t xml:space="preserve">4816148146915</t>
        </is>
      </c>
      <c r="Q392" s="3" t="str">
        <f>HYPERLINK("https://modify.by/img/258242657/1.webp","фото")</f>
        <v>фото</v>
      </c>
      <c r="R392" s="3" t="str">
        <f>HYPERLINK("https://modify.by/catalog/kofty/258242657/?utm_source=price&amp;utm_medium=xlsx","открыть")</f>
        <v>открыть</v>
      </c>
    </row>
    <row r="393">
      <c r="A393" t="inlineStr">
        <is>
          <t xml:space="preserve">Мужской</t>
        </is>
      </c>
      <c r="B393" t="inlineStr">
        <is>
          <t xml:space="preserve">Кофты</t>
        </is>
      </c>
      <c r="C393" t="inlineStr">
        <is>
          <t xml:space="preserve">Свитер с воротником на молнии</t>
        </is>
      </c>
      <c r="D393" t="inlineStr">
        <is>
          <t xml:space="preserve">SW42M10темно-синий</t>
        </is>
      </c>
      <c r="E393" t="inlineStr">
        <is>
          <t xml:space="preserve">темно-синий</t>
        </is>
      </c>
      <c r="F393" t="inlineStr">
        <is>
          <t xml:space="preserve">54</t>
        </is>
      </c>
      <c r="G393">
        <v>25</v>
      </c>
      <c r="H393" s="2">
        <v>35.0</v>
      </c>
      <c r="I393" t="inlineStr">
        <is>
          <t xml:space="preserve">100% акрил</t>
        </is>
      </c>
      <c r="J393" t="inlineStr">
        <is>
          <t xml:space="preserve">демисезон</t>
        </is>
      </c>
      <c r="K393" t="inlineStr">
        <is>
          <t xml:space="preserve">Бангладеш</t>
        </is>
      </c>
      <c r="L393" t="inlineStr">
        <is>
          <t xml:space="preserve">6110209100</t>
        </is>
      </c>
      <c r="M393" t="inlineStr">
        <is>
          <t xml:space="preserve">Декларация № ЕАЭС № BY/112 11.01. ТР017 122.01 08246, до 19.04.2028</t>
        </is>
      </c>
      <c r="N393" t="inlineStr">
        <is>
          <t xml:space="preserve">35 × 25 × 3</t>
        </is>
      </c>
      <c r="O393" t="inlineStr">
        <is>
          <t xml:space="preserve">0,45</t>
        </is>
      </c>
      <c r="P393" t="inlineStr">
        <is>
          <t xml:space="preserve">4816148146922</t>
        </is>
      </c>
      <c r="Q393" s="3" t="str">
        <f>HYPERLINK("https://modify.by/img/258242657/1.webp","фото")</f>
        <v>фото</v>
      </c>
      <c r="R393" s="3" t="str">
        <f>HYPERLINK("https://modify.by/catalog/kofty/258242657/?utm_source=price&amp;utm_medium=xlsx","открыть")</f>
        <v>открыть</v>
      </c>
    </row>
    <row r="394">
      <c r="A394" t="inlineStr">
        <is>
          <t xml:space="preserve">Мужской</t>
        </is>
      </c>
      <c r="B394" t="inlineStr">
        <is>
          <t xml:space="preserve">Кофты</t>
        </is>
      </c>
      <c r="C394" t="inlineStr">
        <is>
          <t xml:space="preserve">Свитер с воротником на молнии</t>
        </is>
      </c>
      <c r="D394" t="inlineStr">
        <is>
          <t xml:space="preserve">SW42M10темно-синий</t>
        </is>
      </c>
      <c r="E394" t="inlineStr">
        <is>
          <t xml:space="preserve">темно-синий</t>
        </is>
      </c>
      <c r="F394" t="inlineStr">
        <is>
          <t xml:space="preserve">56</t>
        </is>
      </c>
      <c r="G394">
        <v>16</v>
      </c>
      <c r="H394" s="2">
        <v>35.0</v>
      </c>
      <c r="I394" t="inlineStr">
        <is>
          <t xml:space="preserve">100% акрил</t>
        </is>
      </c>
      <c r="J394" t="inlineStr">
        <is>
          <t xml:space="preserve">демисезон</t>
        </is>
      </c>
      <c r="K394" t="inlineStr">
        <is>
          <t xml:space="preserve">Бангладеш</t>
        </is>
      </c>
      <c r="L394" t="inlineStr">
        <is>
          <t xml:space="preserve">6110209100</t>
        </is>
      </c>
      <c r="M394" t="inlineStr">
        <is>
          <t xml:space="preserve">Декларация № ЕАЭС № BY/112 11.01. ТР017 122.01 08246, до 19.04.2028</t>
        </is>
      </c>
      <c r="N394" t="inlineStr">
        <is>
          <t xml:space="preserve">35 × 25 × 3</t>
        </is>
      </c>
      <c r="O394" t="inlineStr">
        <is>
          <t xml:space="preserve">0,45</t>
        </is>
      </c>
      <c r="P394" t="inlineStr">
        <is>
          <t xml:space="preserve">4816148146939</t>
        </is>
      </c>
      <c r="Q394" s="3" t="str">
        <f>HYPERLINK("https://modify.by/img/258242657/1.webp","фото")</f>
        <v>фото</v>
      </c>
      <c r="R394" s="3" t="str">
        <f>HYPERLINK("https://modify.by/catalog/kofty/258242657/?utm_source=price&amp;utm_medium=xlsx","открыть")</f>
        <v>открыть</v>
      </c>
    </row>
    <row r="395">
      <c r="A395" t="inlineStr">
        <is>
          <t xml:space="preserve">Мужской</t>
        </is>
      </c>
      <c r="B395" t="inlineStr">
        <is>
          <t xml:space="preserve">Лонгсливы</t>
        </is>
      </c>
      <c r="C395" t="inlineStr">
        <is>
          <t xml:space="preserve">Солнцезащитная кофта лонгслив на молнии джерси UPF 50+, белый</t>
        </is>
      </c>
      <c r="D395" t="inlineStr">
        <is>
          <t xml:space="preserve">T252SSM02_белый</t>
        </is>
      </c>
      <c r="E395" t="inlineStr">
        <is>
          <t xml:space="preserve">белый</t>
        </is>
      </c>
      <c r="F395" t="inlineStr">
        <is>
          <t xml:space="preserve">54</t>
        </is>
      </c>
      <c r="G395">
        <v>1</v>
      </c>
      <c r="H395" s="2">
        <v>33.0</v>
      </c>
      <c r="I395" t="inlineStr">
        <is>
          <t xml:space="preserve">87% нейлон, 13% спандекс</t>
        </is>
      </c>
      <c r="J395" t="inlineStr">
        <is>
          <t xml:space="preserve">круглогодичный</t>
        </is>
      </c>
      <c r="K395" t="inlineStr">
        <is>
          <t xml:space="preserve">Китай</t>
        </is>
      </c>
      <c r="L395" t="inlineStr">
        <is>
          <t xml:space="preserve">6110309900</t>
        </is>
      </c>
      <c r="M395" t="inlineStr">
        <is>
          <t xml:space="preserve">Декларация № ЕАЭС N RU Д-CN.РА02.В.44060/24, до 28.02.2029</t>
        </is>
      </c>
      <c r="N395" t="inlineStr">
        <is>
          <t xml:space="preserve">36 × 28 × 3</t>
        </is>
      </c>
      <c r="O395" t="inlineStr">
        <is>
          <t xml:space="preserve">0,3</t>
        </is>
      </c>
      <c r="P395" t="inlineStr">
        <is>
          <t xml:space="preserve">4816148182722</t>
        </is>
      </c>
      <c r="Q395" s="3" t="str">
        <f>HYPERLINK("https://modify.by/img/974470106/1.webp","фото")</f>
        <v>фото</v>
      </c>
      <c r="R395" s="3" t="str">
        <f>HYPERLINK("https://modify.by/catalog/longslivy/974470106/?utm_source=price&amp;utm_medium=xlsx","открыть")</f>
        <v>открыть</v>
      </c>
    </row>
    <row r="396">
      <c r="A396" t="inlineStr">
        <is>
          <t xml:space="preserve">Мужской</t>
        </is>
      </c>
      <c r="B396" t="inlineStr">
        <is>
          <t xml:space="preserve">Лонгсливы</t>
        </is>
      </c>
      <c r="C396" t="inlineStr">
        <is>
          <t xml:space="preserve">Солнцезащитная кофта лонгслив на молнии джерси UPF 50+, голубой</t>
        </is>
      </c>
      <c r="D396" t="inlineStr">
        <is>
          <t xml:space="preserve">T252SSM02/BY_голубой</t>
        </is>
      </c>
      <c r="E396" t="inlineStr">
        <is>
          <t xml:space="preserve">голубой</t>
        </is>
      </c>
      <c r="F396" t="inlineStr">
        <is>
          <t xml:space="preserve">50</t>
        </is>
      </c>
      <c r="G396">
        <v>1</v>
      </c>
      <c r="H396" s="2">
        <v>33.0</v>
      </c>
      <c r="I396" t="inlineStr">
        <is>
          <t xml:space="preserve">87% нейлон, 13% спандекс</t>
        </is>
      </c>
      <c r="J396" t="inlineStr">
        <is>
          <t xml:space="preserve">круглогодичный</t>
        </is>
      </c>
      <c r="K396" t="inlineStr">
        <is>
          <t xml:space="preserve">Китай</t>
        </is>
      </c>
      <c r="L396" t="inlineStr">
        <is>
          <t xml:space="preserve">6110309900</t>
        </is>
      </c>
      <c r="M396" t="inlineStr">
        <is>
          <t xml:space="preserve">Декларация № ЕАЭС N RU Д-CN.РА02.В.44060/24, до 28.02.2029</t>
        </is>
      </c>
      <c r="N396" t="inlineStr">
        <is>
          <t xml:space="preserve">36 × 28 × 3</t>
        </is>
      </c>
      <c r="O396" t="inlineStr">
        <is>
          <t xml:space="preserve">0,3</t>
        </is>
      </c>
      <c r="P396" t="inlineStr">
        <is>
          <t xml:space="preserve">4816148175137</t>
        </is>
      </c>
      <c r="Q396" s="3" t="str">
        <f>HYPERLINK("https://modify.by/img/790727847/1.webp","фото")</f>
        <v>фото</v>
      </c>
      <c r="R396" s="3" t="str">
        <f>HYPERLINK("https://modify.by/catalog/longslivy/790727847/?utm_source=price&amp;utm_medium=xlsx","открыть")</f>
        <v>открыть</v>
      </c>
    </row>
    <row r="397">
      <c r="A397" t="inlineStr">
        <is>
          <t xml:space="preserve">Мужской</t>
        </is>
      </c>
      <c r="B397" t="inlineStr">
        <is>
          <t xml:space="preserve">Лонгсливы</t>
        </is>
      </c>
      <c r="C397" t="inlineStr">
        <is>
          <t xml:space="preserve">Солнцезащитная кофта лонгслив на молнии джерси UPF 50+, серый</t>
        </is>
      </c>
      <c r="D397" t="inlineStr">
        <is>
          <t xml:space="preserve">T252SSM02/BY_серый</t>
        </is>
      </c>
      <c r="E397" t="inlineStr">
        <is>
          <t xml:space="preserve">серый</t>
        </is>
      </c>
      <c r="F397" t="inlineStr">
        <is>
          <t xml:space="preserve">46</t>
        </is>
      </c>
      <c r="G397">
        <v>5</v>
      </c>
      <c r="H397" s="2">
        <v>33.0</v>
      </c>
      <c r="I397" t="inlineStr">
        <is>
          <t xml:space="preserve">87% нейлон, 13% спандекс</t>
        </is>
      </c>
      <c r="J397" t="inlineStr">
        <is>
          <t xml:space="preserve">круглогодичный</t>
        </is>
      </c>
      <c r="K397" t="inlineStr">
        <is>
          <t xml:space="preserve">Китай</t>
        </is>
      </c>
      <c r="L397" t="inlineStr">
        <is>
          <t xml:space="preserve">6110309900</t>
        </is>
      </c>
      <c r="M397" t="inlineStr">
        <is>
          <t xml:space="preserve">Декларация № ЕАЭС N RU Д-CN.РА02.В.44060/24, до 28.02.2029</t>
        </is>
      </c>
      <c r="N397" t="inlineStr">
        <is>
          <t xml:space="preserve">36 × 28 × 2</t>
        </is>
      </c>
      <c r="O397" t="inlineStr">
        <is>
          <t xml:space="preserve">0,3</t>
        </is>
      </c>
      <c r="P397" t="inlineStr">
        <is>
          <t xml:space="preserve">4816148182739</t>
        </is>
      </c>
      <c r="Q397" s="3" t="str">
        <f>HYPERLINK("https://modify.by/img/790727846/1.webp","фото")</f>
        <v>фото</v>
      </c>
      <c r="R397" s="3" t="str">
        <f>HYPERLINK("https://modify.by/catalog/longslivy/790727846/?utm_source=price&amp;utm_medium=xlsx","открыть")</f>
        <v>открыть</v>
      </c>
    </row>
    <row r="398">
      <c r="A398" t="inlineStr">
        <is>
          <t xml:space="preserve">Мужской</t>
        </is>
      </c>
      <c r="B398" t="inlineStr">
        <is>
          <t xml:space="preserve">Лонгсливы</t>
        </is>
      </c>
      <c r="C398" t="inlineStr">
        <is>
          <t xml:space="preserve">Солнцезащитная кофта лонгслив на молнии джерси UPF 50+, серый</t>
        </is>
      </c>
      <c r="D398" t="inlineStr">
        <is>
          <t xml:space="preserve">T252SSM02/BY_серый</t>
        </is>
      </c>
      <c r="E398" t="inlineStr">
        <is>
          <t xml:space="preserve">серый</t>
        </is>
      </c>
      <c r="F398" t="inlineStr">
        <is>
          <t xml:space="preserve">54</t>
        </is>
      </c>
      <c r="G398">
        <v>2</v>
      </c>
      <c r="H398" s="2">
        <v>33.0</v>
      </c>
      <c r="I398" t="inlineStr">
        <is>
          <t xml:space="preserve">87% нейлон, 13% спандекс</t>
        </is>
      </c>
      <c r="J398" t="inlineStr">
        <is>
          <t xml:space="preserve">круглогодичный</t>
        </is>
      </c>
      <c r="K398" t="inlineStr">
        <is>
          <t xml:space="preserve">Китай</t>
        </is>
      </c>
      <c r="L398" t="inlineStr">
        <is>
          <t xml:space="preserve">6110309900</t>
        </is>
      </c>
      <c r="M398" t="inlineStr">
        <is>
          <t xml:space="preserve">Декларация № ЕАЭС N RU Д-CN.РА02.В.44060/24, до 28.02.2029</t>
        </is>
      </c>
      <c r="N398" t="inlineStr">
        <is>
          <t xml:space="preserve">36 × 28 × 2</t>
        </is>
      </c>
      <c r="O398" t="inlineStr">
        <is>
          <t xml:space="preserve">0,3</t>
        </is>
      </c>
      <c r="P398" t="inlineStr">
        <is>
          <t xml:space="preserve">4816148175113</t>
        </is>
      </c>
      <c r="Q398" s="3" t="str">
        <f>HYPERLINK("https://modify.by/img/790727846/1.webp","фото")</f>
        <v>фото</v>
      </c>
      <c r="R398" s="3" t="str">
        <f>HYPERLINK("https://modify.by/catalog/longslivy/790727846/?utm_source=price&amp;utm_medium=xlsx","открыть")</f>
        <v>открыть</v>
      </c>
    </row>
    <row r="399">
      <c r="A399" t="inlineStr">
        <is>
          <t xml:space="preserve">Мужской</t>
        </is>
      </c>
      <c r="B399" t="inlineStr">
        <is>
          <t xml:space="preserve">Пуловеры</t>
        </is>
      </c>
      <c r="C399" t="inlineStr">
        <is>
          <t xml:space="preserve">Пуловер хлопок базовый классический</t>
        </is>
      </c>
      <c r="D399" t="inlineStr">
        <is>
          <t xml:space="preserve">SW32M20Черный</t>
        </is>
      </c>
      <c r="E399" t="inlineStr">
        <is>
          <t xml:space="preserve">черный</t>
        </is>
      </c>
      <c r="F399" t="inlineStr">
        <is>
          <t xml:space="preserve">44</t>
        </is>
      </c>
      <c r="G399">
        <v>3</v>
      </c>
      <c r="H399" s="2">
        <v>28.0</v>
      </c>
      <c r="I399" t="inlineStr">
        <is>
          <t xml:space="preserve">хлопок 100%</t>
        </is>
      </c>
      <c r="J399"/>
      <c r="K399" t="inlineStr">
        <is>
          <t xml:space="preserve">Бангладеш</t>
        </is>
      </c>
      <c r="L399" t="inlineStr">
        <is>
          <t xml:space="preserve">6110209100</t>
        </is>
      </c>
      <c r="M399" t="inlineStr">
        <is>
          <t xml:space="preserve">Декларация № ЕАЭС № BY/112 11.01. ТР017 122.01 08246, до 19.04.2028</t>
        </is>
      </c>
      <c r="N399" t="inlineStr">
        <is>
          <t xml:space="preserve">35 × 28 × 3</t>
        </is>
      </c>
      <c r="O399" t="inlineStr">
        <is>
          <t xml:space="preserve">0,45</t>
        </is>
      </c>
      <c r="P399" t="inlineStr">
        <is>
          <t xml:space="preserve">2026620759256</t>
        </is>
      </c>
      <c r="Q399" s="3" t="str">
        <f>HYPERLINK("https://modify.by/img/162943765/1.webp","фото")</f>
        <v>фото</v>
      </c>
      <c r="R399" s="3" t="str">
        <f>HYPERLINK("https://modify.by/catalog/pulovery/162943765/?utm_source=price&amp;utm_medium=xlsx","открыть")</f>
        <v>открыть</v>
      </c>
    </row>
    <row r="400">
      <c r="A400" t="inlineStr">
        <is>
          <t xml:space="preserve">Мужской</t>
        </is>
      </c>
      <c r="B400" t="inlineStr">
        <is>
          <t xml:space="preserve">Пуловеры</t>
        </is>
      </c>
      <c r="C400" t="inlineStr">
        <is>
          <t xml:space="preserve">Пуловер хлопок базовый классический</t>
        </is>
      </c>
      <c r="D400" t="inlineStr">
        <is>
          <t xml:space="preserve">SW32M20Черный</t>
        </is>
      </c>
      <c r="E400" t="inlineStr">
        <is>
          <t xml:space="preserve">черный</t>
        </is>
      </c>
      <c r="F400" t="inlineStr">
        <is>
          <t xml:space="preserve">44</t>
        </is>
      </c>
      <c r="G400">
        <v>3</v>
      </c>
      <c r="H400" s="2">
        <v>28.0</v>
      </c>
      <c r="I400" t="inlineStr">
        <is>
          <t xml:space="preserve">хлопок 100%</t>
        </is>
      </c>
      <c r="J400"/>
      <c r="K400" t="inlineStr">
        <is>
          <t xml:space="preserve">Бангладеш</t>
        </is>
      </c>
      <c r="L400" t="inlineStr">
        <is>
          <t xml:space="preserve">6110209100</t>
        </is>
      </c>
      <c r="M400" t="inlineStr">
        <is>
          <t xml:space="preserve">Декларация № ЕАЭС № BY/112 11.01. ТР017 122.01 08246, до 19.04.2028</t>
        </is>
      </c>
      <c r="N400" t="inlineStr">
        <is>
          <t xml:space="preserve">35 × 28 × 3</t>
        </is>
      </c>
      <c r="O400" t="inlineStr">
        <is>
          <t xml:space="preserve">0,45</t>
        </is>
      </c>
      <c r="P400" t="inlineStr">
        <is>
          <t xml:space="preserve">4816148139368</t>
        </is>
      </c>
      <c r="Q400" s="3" t="str">
        <f>HYPERLINK("https://modify.by/img/162943765/1.webp","фото")</f>
        <v>фото</v>
      </c>
      <c r="R400" s="3" t="str">
        <f>HYPERLINK("https://modify.by/catalog/pulovery/162943765/?utm_source=price&amp;utm_medium=xlsx","открыть")</f>
        <v>открыть</v>
      </c>
    </row>
    <row r="401">
      <c r="A401" t="inlineStr">
        <is>
          <t xml:space="preserve">Мужской</t>
        </is>
      </c>
      <c r="B401" t="inlineStr">
        <is>
          <t xml:space="preserve">Резиновые сапоги</t>
        </is>
      </c>
      <c r="C401" t="inlineStr">
        <is>
          <t xml:space="preserve">Полусапоги резиновые для рыбалки, туризма без вкладыша</t>
        </is>
      </c>
      <c r="D401" t="inlineStr">
        <is>
          <t xml:space="preserve">2538камуфляж</t>
        </is>
      </c>
      <c r="E401" t="inlineStr">
        <is>
          <t xml:space="preserve">камуфляж</t>
        </is>
      </c>
      <c r="F401" t="inlineStr">
        <is>
          <t xml:space="preserve">41-42</t>
        </is>
      </c>
      <c r="G401">
        <v>4</v>
      </c>
      <c r="H401" s="2">
        <v>49.0</v>
      </c>
      <c r="I401" t="inlineStr">
        <is>
          <t xml:space="preserve">ПВХ</t>
        </is>
      </c>
      <c r="J401" t="inlineStr">
        <is>
          <t xml:space="preserve">демисезон</t>
        </is>
      </c>
      <c r="K401" t="inlineStr">
        <is>
          <t xml:space="preserve">Китай</t>
        </is>
      </c>
      <c r="L401" t="inlineStr">
        <is>
          <t xml:space="preserve">6401929000</t>
        </is>
      </c>
      <c r="M401" t="inlineStr">
        <is>
          <t xml:space="preserve">Декларация № ЕАЭС KG417/533.Д.0004548, до 27.03.2029</t>
        </is>
      </c>
      <c r="N401" t="inlineStr">
        <is>
          <t xml:space="preserve">34 × 29 × 15</t>
        </is>
      </c>
      <c r="O401" t="inlineStr">
        <is>
          <t xml:space="preserve">0,65</t>
        </is>
      </c>
      <c r="P401" t="inlineStr">
        <is>
          <t xml:space="preserve">4816148169167</t>
        </is>
      </c>
      <c r="Q401" s="3" t="str">
        <f>HYPERLINK("https://modify.by/img/585352745/1.webp","фото")</f>
        <v>фото</v>
      </c>
      <c r="R401" s="3" t="str">
        <f>HYPERLINK("https://modify.by/catalog/rezinovye-sapogi/585352745/?utm_source=price&amp;utm_medium=xlsx","открыть")</f>
        <v>открыть</v>
      </c>
    </row>
    <row r="402">
      <c r="A402" t="inlineStr">
        <is>
          <t xml:space="preserve">Мужской</t>
        </is>
      </c>
      <c r="B402" t="inlineStr">
        <is>
          <t xml:space="preserve">Резиновые сапоги</t>
        </is>
      </c>
      <c r="C402" t="inlineStr">
        <is>
          <t xml:space="preserve">Полусапоги резиновые для рыбалки, туризма без вкладыша</t>
        </is>
      </c>
      <c r="D402" t="inlineStr">
        <is>
          <t xml:space="preserve">2538камуфляж</t>
        </is>
      </c>
      <c r="E402" t="inlineStr">
        <is>
          <t xml:space="preserve">камуфляж</t>
        </is>
      </c>
      <c r="F402" t="inlineStr">
        <is>
          <t xml:space="preserve">42-43</t>
        </is>
      </c>
      <c r="G402">
        <v>2</v>
      </c>
      <c r="H402" s="2">
        <v>49.0</v>
      </c>
      <c r="I402" t="inlineStr">
        <is>
          <t xml:space="preserve">ПВХ</t>
        </is>
      </c>
      <c r="J402" t="inlineStr">
        <is>
          <t xml:space="preserve">демисезон</t>
        </is>
      </c>
      <c r="K402" t="inlineStr">
        <is>
          <t xml:space="preserve">Китай</t>
        </is>
      </c>
      <c r="L402" t="inlineStr">
        <is>
          <t xml:space="preserve">6401929000</t>
        </is>
      </c>
      <c r="M402" t="inlineStr">
        <is>
          <t xml:space="preserve">Декларация № ЕАЭС KG417/533.Д.0004548, до 27.03.2029</t>
        </is>
      </c>
      <c r="N402" t="inlineStr">
        <is>
          <t xml:space="preserve">34 × 29 × 15</t>
        </is>
      </c>
      <c r="O402" t="inlineStr">
        <is>
          <t xml:space="preserve">0,65</t>
        </is>
      </c>
      <c r="P402" t="inlineStr">
        <is>
          <t xml:space="preserve">4816148182418</t>
        </is>
      </c>
      <c r="Q402" s="3" t="str">
        <f>HYPERLINK("https://modify.by/img/585352745/1.webp","фото")</f>
        <v>фото</v>
      </c>
      <c r="R402" s="3" t="str">
        <f>HYPERLINK("https://modify.by/catalog/rezinovye-sapogi/585352745/?utm_source=price&amp;utm_medium=xlsx","открыть")</f>
        <v>открыть</v>
      </c>
    </row>
    <row r="403">
      <c r="A403" t="inlineStr">
        <is>
          <t xml:space="preserve">Мужской</t>
        </is>
      </c>
      <c r="B403" t="inlineStr">
        <is>
          <t xml:space="preserve">Резиновые сапоги</t>
        </is>
      </c>
      <c r="C403" t="inlineStr">
        <is>
          <t xml:space="preserve">Полусапоги резиновые для рыбалки, туризма без вкладыша</t>
        </is>
      </c>
      <c r="D403" t="inlineStr">
        <is>
          <t xml:space="preserve">2538камуфляж</t>
        </is>
      </c>
      <c r="E403" t="inlineStr">
        <is>
          <t xml:space="preserve">камуфляж</t>
        </is>
      </c>
      <c r="F403" t="inlineStr">
        <is>
          <t xml:space="preserve">43-44</t>
        </is>
      </c>
      <c r="G403">
        <v>6</v>
      </c>
      <c r="H403" s="2">
        <v>49.0</v>
      </c>
      <c r="I403" t="inlineStr">
        <is>
          <t xml:space="preserve">ПВХ</t>
        </is>
      </c>
      <c r="J403" t="inlineStr">
        <is>
          <t xml:space="preserve">демисезон</t>
        </is>
      </c>
      <c r="K403" t="inlineStr">
        <is>
          <t xml:space="preserve">Китай</t>
        </is>
      </c>
      <c r="L403" t="inlineStr">
        <is>
          <t xml:space="preserve">6401929000</t>
        </is>
      </c>
      <c r="M403" t="inlineStr">
        <is>
          <t xml:space="preserve">Декларация № ЕАЭС KG417/533.Д.0004548, до 27.03.2029</t>
        </is>
      </c>
      <c r="N403" t="inlineStr">
        <is>
          <t xml:space="preserve">34 × 29 × 15</t>
        </is>
      </c>
      <c r="O403" t="inlineStr">
        <is>
          <t xml:space="preserve">0,65</t>
        </is>
      </c>
      <c r="P403" t="inlineStr">
        <is>
          <t xml:space="preserve">4816148182425</t>
        </is>
      </c>
      <c r="Q403" s="3" t="str">
        <f>HYPERLINK("https://modify.by/img/585352745/1.webp","фото")</f>
        <v>фото</v>
      </c>
      <c r="R403" s="3" t="str">
        <f>HYPERLINK("https://modify.by/catalog/rezinovye-sapogi/585352745/?utm_source=price&amp;utm_medium=xlsx","открыть")</f>
        <v>открыть</v>
      </c>
    </row>
    <row r="404">
      <c r="A404" t="inlineStr">
        <is>
          <t xml:space="preserve">Мужской</t>
        </is>
      </c>
      <c r="B404" t="inlineStr">
        <is>
          <t xml:space="preserve">Резиновые сапоги</t>
        </is>
      </c>
      <c r="C404" t="inlineStr">
        <is>
          <t xml:space="preserve">Полусапоги резиновые для рыбалки, туризма без вкладыша</t>
        </is>
      </c>
      <c r="D404" t="inlineStr">
        <is>
          <t xml:space="preserve">2538камуфляж</t>
        </is>
      </c>
      <c r="E404" t="inlineStr">
        <is>
          <t xml:space="preserve">камуфляж</t>
        </is>
      </c>
      <c r="F404" t="inlineStr">
        <is>
          <t xml:space="preserve">44-45</t>
        </is>
      </c>
      <c r="G404">
        <v>3</v>
      </c>
      <c r="H404" s="2">
        <v>49.0</v>
      </c>
      <c r="I404" t="inlineStr">
        <is>
          <t xml:space="preserve">ПВХ</t>
        </is>
      </c>
      <c r="J404" t="inlineStr">
        <is>
          <t xml:space="preserve">демисезон</t>
        </is>
      </c>
      <c r="K404" t="inlineStr">
        <is>
          <t xml:space="preserve">Китай</t>
        </is>
      </c>
      <c r="L404" t="inlineStr">
        <is>
          <t xml:space="preserve">6401929000</t>
        </is>
      </c>
      <c r="M404" t="inlineStr">
        <is>
          <t xml:space="preserve">Декларация № ЕАЭС KG417/533.Д.0004548, до 27.03.2029</t>
        </is>
      </c>
      <c r="N404" t="inlineStr">
        <is>
          <t xml:space="preserve">34 × 29 × 15</t>
        </is>
      </c>
      <c r="O404" t="inlineStr">
        <is>
          <t xml:space="preserve">0,65</t>
        </is>
      </c>
      <c r="P404" t="inlineStr">
        <is>
          <t xml:space="preserve">4816148182432</t>
        </is>
      </c>
      <c r="Q404" s="3" t="str">
        <f>HYPERLINK("https://modify.by/img/585352745/1.webp","фото")</f>
        <v>фото</v>
      </c>
      <c r="R404" s="3" t="str">
        <f>HYPERLINK("https://modify.by/catalog/rezinovye-sapogi/585352745/?utm_source=price&amp;utm_medium=xlsx","открыть")</f>
        <v>открыть</v>
      </c>
    </row>
    <row r="405">
      <c r="A405" t="inlineStr">
        <is>
          <t xml:space="preserve">Мужской</t>
        </is>
      </c>
      <c r="B405" t="inlineStr">
        <is>
          <t xml:space="preserve">Резиновые сапоги</t>
        </is>
      </c>
      <c r="C405" t="inlineStr">
        <is>
          <t xml:space="preserve">Сапоги непромокаемые высокие для рыбалки леса и дачи</t>
        </is>
      </c>
      <c r="D405" t="inlineStr">
        <is>
          <t xml:space="preserve">3306черный,красный</t>
        </is>
      </c>
      <c r="E405" t="inlineStr">
        <is>
          <t xml:space="preserve">красный, черный</t>
        </is>
      </c>
      <c r="F405" t="inlineStr">
        <is>
          <t xml:space="preserve">44</t>
        </is>
      </c>
      <c r="G405">
        <v>1</v>
      </c>
      <c r="H405" s="2">
        <v>58.0</v>
      </c>
      <c r="I405" t="inlineStr">
        <is>
          <t xml:space="preserve">ПВХ 100%</t>
        </is>
      </c>
      <c r="J405" t="inlineStr">
        <is>
          <t xml:space="preserve">демисезон</t>
        </is>
      </c>
      <c r="K405" t="inlineStr">
        <is>
          <t xml:space="preserve">Китай</t>
        </is>
      </c>
      <c r="L405" t="inlineStr">
        <is>
          <t xml:space="preserve">6401929000</t>
        </is>
      </c>
      <c r="M405" t="inlineStr">
        <is>
          <t xml:space="preserve">Декларация № ЕАЭС KG417/533.Д.0004548, до 27.03.2029</t>
        </is>
      </c>
      <c r="N405" t="inlineStr">
        <is>
          <t xml:space="preserve">54 × 30 × 10</t>
        </is>
      </c>
      <c r="O405" t="inlineStr">
        <is>
          <t xml:space="preserve">1,65</t>
        </is>
      </c>
      <c r="P405" t="inlineStr">
        <is>
          <t xml:space="preserve">4816148100399</t>
        </is>
      </c>
      <c r="Q405" s="3" t="str">
        <f>HYPERLINK("https://modify.by/img/227803966/1.webp","фото")</f>
        <v>фото</v>
      </c>
      <c r="R405" s="3" t="str">
        <f>HYPERLINK("https://modify.by/catalog/rezinovye-sapogi/227803966/?utm_source=price&amp;utm_medium=xlsx","открыть")</f>
        <v>открыть</v>
      </c>
    </row>
    <row r="406">
      <c r="A406" t="inlineStr">
        <is>
          <t xml:space="preserve">Мужской</t>
        </is>
      </c>
      <c r="B406" t="inlineStr">
        <is>
          <t xml:space="preserve">Резиновые сапоги</t>
        </is>
      </c>
      <c r="C406" t="inlineStr">
        <is>
          <t xml:space="preserve">Сапоги непромокаемые высокие для рыбалки леса и дачи</t>
        </is>
      </c>
      <c r="D406" t="inlineStr">
        <is>
          <t xml:space="preserve">3306черный,красный</t>
        </is>
      </c>
      <c r="E406" t="inlineStr">
        <is>
          <t xml:space="preserve">красный, черный</t>
        </is>
      </c>
      <c r="F406" t="inlineStr">
        <is>
          <t xml:space="preserve">46</t>
        </is>
      </c>
      <c r="G406">
        <v>5</v>
      </c>
      <c r="H406" s="2">
        <v>58.0</v>
      </c>
      <c r="I406" t="inlineStr">
        <is>
          <t xml:space="preserve">ПВХ 100%</t>
        </is>
      </c>
      <c r="J406" t="inlineStr">
        <is>
          <t xml:space="preserve">демисезон</t>
        </is>
      </c>
      <c r="K406" t="inlineStr">
        <is>
          <t xml:space="preserve">Китай</t>
        </is>
      </c>
      <c r="L406" t="inlineStr">
        <is>
          <t xml:space="preserve">6401929000</t>
        </is>
      </c>
      <c r="M406" t="inlineStr">
        <is>
          <t xml:space="preserve">Декларация № ЕАЭС KG417/533.Д.0004548, до 27.03.2029</t>
        </is>
      </c>
      <c r="N406" t="inlineStr">
        <is>
          <t xml:space="preserve">54 × 30 × 10</t>
        </is>
      </c>
      <c r="O406" t="inlineStr">
        <is>
          <t xml:space="preserve">1,65</t>
        </is>
      </c>
      <c r="P406" t="inlineStr">
        <is>
          <t xml:space="preserve">4816148169105</t>
        </is>
      </c>
      <c r="Q406" s="3" t="str">
        <f>HYPERLINK("https://modify.by/img/227803966/1.webp","фото")</f>
        <v>фото</v>
      </c>
      <c r="R406" s="3" t="str">
        <f>HYPERLINK("https://modify.by/catalog/rezinovye-sapogi/227803966/?utm_source=price&amp;utm_medium=xlsx","открыть")</f>
        <v>открыть</v>
      </c>
    </row>
    <row r="407">
      <c r="A407" t="inlineStr">
        <is>
          <t xml:space="preserve">Мужской</t>
        </is>
      </c>
      <c r="B407" t="inlineStr">
        <is>
          <t xml:space="preserve">Резиновые сапоги</t>
        </is>
      </c>
      <c r="C407" t="inlineStr">
        <is>
          <t xml:space="preserve">Сапоги непромокаемые высокие для рыбалки леса и дачи</t>
        </is>
      </c>
      <c r="D407" t="inlineStr">
        <is>
          <t xml:space="preserve">3306черный,красный</t>
        </is>
      </c>
      <c r="E407" t="inlineStr">
        <is>
          <t xml:space="preserve">красный, черный</t>
        </is>
      </c>
      <c r="F407" t="inlineStr">
        <is>
          <t xml:space="preserve">48</t>
        </is>
      </c>
      <c r="G407">
        <v>1</v>
      </c>
      <c r="H407" s="2">
        <v>58.0</v>
      </c>
      <c r="I407" t="inlineStr">
        <is>
          <t xml:space="preserve">ПВХ 100%</t>
        </is>
      </c>
      <c r="J407" t="inlineStr">
        <is>
          <t xml:space="preserve">демисезон</t>
        </is>
      </c>
      <c r="K407" t="inlineStr">
        <is>
          <t xml:space="preserve">Китай</t>
        </is>
      </c>
      <c r="L407" t="inlineStr">
        <is>
          <t xml:space="preserve">6401929000</t>
        </is>
      </c>
      <c r="M407" t="inlineStr">
        <is>
          <t xml:space="preserve">Декларация № ЕАЭС KG417/533.Д.0004548, до 27.03.2029</t>
        </is>
      </c>
      <c r="N407" t="inlineStr">
        <is>
          <t xml:space="preserve">54 × 30 × 10</t>
        </is>
      </c>
      <c r="O407" t="inlineStr">
        <is>
          <t xml:space="preserve">1,65</t>
        </is>
      </c>
      <c r="P407" t="inlineStr">
        <is>
          <t xml:space="preserve">4816148169129</t>
        </is>
      </c>
      <c r="Q407" s="3" t="str">
        <f>HYPERLINK("https://modify.by/img/227803966/1.webp","фото")</f>
        <v>фото</v>
      </c>
      <c r="R407" s="3" t="str">
        <f>HYPERLINK("https://modify.by/catalog/rezinovye-sapogi/227803966/?utm_source=price&amp;utm_medium=xlsx","открыть")</f>
        <v>открыть</v>
      </c>
    </row>
    <row r="408">
      <c r="A408" t="inlineStr">
        <is>
          <t xml:space="preserve">Мужской</t>
        </is>
      </c>
      <c r="B408" t="inlineStr">
        <is>
          <t xml:space="preserve">Резиновые сапоги</t>
        </is>
      </c>
      <c r="C408" t="inlineStr">
        <is>
          <t xml:space="preserve">Сапоги непромокаемые короткие ЭВА, черный, арт. XD-528черный37</t>
        </is>
      </c>
      <c r="D408" t="inlineStr">
        <is>
          <t xml:space="preserve">XD-528черный37</t>
        </is>
      </c>
      <c r="E408" t="inlineStr">
        <is>
          <t xml:space="preserve">черный</t>
        </is>
      </c>
      <c r="F408" t="inlineStr">
        <is>
          <t xml:space="preserve">38</t>
        </is>
      </c>
      <c r="G408">
        <v>1</v>
      </c>
      <c r="H408" s="2">
        <v>30.0</v>
      </c>
      <c r="I408" t="inlineStr">
        <is>
          <t xml:space="preserve">ПВХ 100%</t>
        </is>
      </c>
      <c r="J408" t="inlineStr">
        <is>
          <t xml:space="preserve">демисезон</t>
        </is>
      </c>
      <c r="K408" t="inlineStr">
        <is>
          <t xml:space="preserve">Китай</t>
        </is>
      </c>
      <c r="L408" t="inlineStr">
        <is>
          <t xml:space="preserve">6401929000</t>
        </is>
      </c>
      <c r="M408" t="inlineStr">
        <is>
          <t xml:space="preserve">по запросу</t>
        </is>
      </c>
      <c r="N408" t="inlineStr">
        <is>
          <t xml:space="preserve">33 × 30 × 10</t>
        </is>
      </c>
      <c r="O408" t="inlineStr">
        <is>
          <t xml:space="preserve">0,66</t>
        </is>
      </c>
      <c r="P408" t="inlineStr">
        <is>
          <t xml:space="preserve">4816148100054</t>
        </is>
      </c>
      <c r="Q408" s="3" t="str">
        <f>HYPERLINK("https://modify.by/img/227804015/1.webp","фото")</f>
        <v>фото</v>
      </c>
      <c r="R408" s="3" t="str">
        <f>HYPERLINK("https://modify.by/catalog/rezinovye-sapogi/227804015/?utm_source=price&amp;utm_medium=xlsx","открыть")</f>
        <v>открыть</v>
      </c>
    </row>
    <row r="409">
      <c r="A409" t="inlineStr">
        <is>
          <t xml:space="preserve">Мужской</t>
        </is>
      </c>
      <c r="B409" t="inlineStr">
        <is>
          <t xml:space="preserve">Свитеры</t>
        </is>
      </c>
      <c r="C409" t="inlineStr">
        <is>
          <t xml:space="preserve">Cвитер с горлом на молнии</t>
        </is>
      </c>
      <c r="D409" t="inlineStr">
        <is>
          <t xml:space="preserve">SW32M29Сине-морской</t>
        </is>
      </c>
      <c r="E409" t="inlineStr">
        <is>
          <t xml:space="preserve">сине-бирюзовый, сине-морской</t>
        </is>
      </c>
      <c r="F409" t="inlineStr">
        <is>
          <t xml:space="preserve">56-170</t>
        </is>
      </c>
      <c r="G409">
        <v>1</v>
      </c>
      <c r="H409" s="2">
        <v>39.0</v>
      </c>
      <c r="I409" t="inlineStr">
        <is>
          <t xml:space="preserve">хлопок 100%</t>
        </is>
      </c>
      <c r="J409"/>
      <c r="K409" t="inlineStr">
        <is>
          <t xml:space="preserve">Бангладеш</t>
        </is>
      </c>
      <c r="L409" t="inlineStr">
        <is>
          <t xml:space="preserve">6110209100</t>
        </is>
      </c>
      <c r="M409" t="inlineStr">
        <is>
          <t xml:space="preserve">Декларация № ЕАЭС № BY/112 11.01. ТР017 122.01 08246, до 19.04.2028</t>
        </is>
      </c>
      <c r="N409" t="inlineStr">
        <is>
          <t xml:space="preserve">40 × 30 × 2</t>
        </is>
      </c>
      <c r="O409" t="inlineStr">
        <is>
          <t xml:space="preserve">0,49</t>
        </is>
      </c>
      <c r="P409" t="inlineStr">
        <is>
          <t xml:space="preserve">2038096171418</t>
        </is>
      </c>
      <c r="Q409" s="3" t="str">
        <f>HYPERLINK("https://modify.by/img/175500020/1.webp","фото")</f>
        <v>фото</v>
      </c>
      <c r="R409" s="3" t="str">
        <f>HYPERLINK("https://modify.by/catalog/svitery/175500020/?utm_source=price&amp;utm_medium=xlsx","открыть")</f>
        <v>открыть</v>
      </c>
    </row>
    <row r="410">
      <c r="A410" t="inlineStr">
        <is>
          <t xml:space="preserve">Мужской</t>
        </is>
      </c>
      <c r="B410" t="inlineStr">
        <is>
          <t xml:space="preserve">Свитеры</t>
        </is>
      </c>
      <c r="C410" t="inlineStr">
        <is>
          <t xml:space="preserve">Джемпер V-образный вырез хлопок базовый тонкий, песочный</t>
        </is>
      </c>
      <c r="D410" t="inlineStr">
        <is>
          <t xml:space="preserve">SW42M04песочный</t>
        </is>
      </c>
      <c r="E410" t="inlineStr">
        <is>
          <t xml:space="preserve">песочный, бежевый лайт</t>
        </is>
      </c>
      <c r="F410" t="inlineStr">
        <is>
          <t xml:space="preserve">46</t>
        </is>
      </c>
      <c r="G410">
        <v>17</v>
      </c>
      <c r="H410" s="2">
        <v>27.0</v>
      </c>
      <c r="I410" t="inlineStr">
        <is>
          <t xml:space="preserve">98% хлопок, 2% эластан</t>
        </is>
      </c>
      <c r="J410"/>
      <c r="K410" t="inlineStr">
        <is>
          <t xml:space="preserve">Бангладеш</t>
        </is>
      </c>
      <c r="L410" t="inlineStr">
        <is>
          <t xml:space="preserve">6110209100</t>
        </is>
      </c>
      <c r="M410" t="inlineStr">
        <is>
          <t xml:space="preserve">Декларация № ЕАЭС № BY/112 11.01. ТР017 122.01 08246, до 19.04.2028</t>
        </is>
      </c>
      <c r="N410" t="inlineStr">
        <is>
          <t xml:space="preserve">37 × 27 × 2</t>
        </is>
      </c>
      <c r="O410" t="inlineStr">
        <is>
          <t xml:space="preserve">0,36</t>
        </is>
      </c>
      <c r="P410" t="inlineStr">
        <is>
          <t xml:space="preserve">4816148138156</t>
        </is>
      </c>
      <c r="Q410" s="3" t="str">
        <f>HYPERLINK("https://modify.by/img/258242610/1.webp","фото")</f>
        <v>фото</v>
      </c>
      <c r="R410" s="3" t="str">
        <f>HYPERLINK("https://modify.by/catalog/svitery/258242610/?utm_source=price&amp;utm_medium=xlsx","открыть")</f>
        <v>открыть</v>
      </c>
    </row>
    <row r="411">
      <c r="A411" t="inlineStr">
        <is>
          <t xml:space="preserve">Мужской</t>
        </is>
      </c>
      <c r="B411" t="inlineStr">
        <is>
          <t xml:space="preserve">Свитеры</t>
        </is>
      </c>
      <c r="C411" t="inlineStr">
        <is>
          <t xml:space="preserve">Джемпер V-образный вырез хлопок базовый тонкий, песочный</t>
        </is>
      </c>
      <c r="D411" t="inlineStr">
        <is>
          <t xml:space="preserve">SW42M04песочный</t>
        </is>
      </c>
      <c r="E411" t="inlineStr">
        <is>
          <t xml:space="preserve">песочный, бежевый лайт</t>
        </is>
      </c>
      <c r="F411" t="inlineStr">
        <is>
          <t xml:space="preserve">48</t>
        </is>
      </c>
      <c r="G411">
        <v>18</v>
      </c>
      <c r="H411" s="2">
        <v>27.0</v>
      </c>
      <c r="I411" t="inlineStr">
        <is>
          <t xml:space="preserve">98% хлопок, 2% эластан</t>
        </is>
      </c>
      <c r="J411"/>
      <c r="K411" t="inlineStr">
        <is>
          <t xml:space="preserve">Бангладеш</t>
        </is>
      </c>
      <c r="L411" t="inlineStr">
        <is>
          <t xml:space="preserve">6110209100</t>
        </is>
      </c>
      <c r="M411" t="inlineStr">
        <is>
          <t xml:space="preserve">Декларация № ЕАЭС № BY/112 11.01. ТР017 122.01 08246, до 19.04.2028</t>
        </is>
      </c>
      <c r="N411" t="inlineStr">
        <is>
          <t xml:space="preserve">37 × 27 × 2</t>
        </is>
      </c>
      <c r="O411" t="inlineStr">
        <is>
          <t xml:space="preserve">0,36</t>
        </is>
      </c>
      <c r="P411" t="inlineStr">
        <is>
          <t xml:space="preserve">4816148138163</t>
        </is>
      </c>
      <c r="Q411" s="3" t="str">
        <f>HYPERLINK("https://modify.by/img/258242610/1.webp","фото")</f>
        <v>фото</v>
      </c>
      <c r="R411" s="3" t="str">
        <f>HYPERLINK("https://modify.by/catalog/svitery/258242610/?utm_source=price&amp;utm_medium=xlsx","открыть")</f>
        <v>открыть</v>
      </c>
    </row>
    <row r="412">
      <c r="A412" t="inlineStr">
        <is>
          <t xml:space="preserve">Мужской</t>
        </is>
      </c>
      <c r="B412" t="inlineStr">
        <is>
          <t xml:space="preserve">Свитеры</t>
        </is>
      </c>
      <c r="C412" t="inlineStr">
        <is>
          <t xml:space="preserve">Джемпер V-образный вырез хлопок базовый тонкий, песочный</t>
        </is>
      </c>
      <c r="D412" t="inlineStr">
        <is>
          <t xml:space="preserve">SW42M04песочный</t>
        </is>
      </c>
      <c r="E412" t="inlineStr">
        <is>
          <t xml:space="preserve">песочный, бежевый лайт</t>
        </is>
      </c>
      <c r="F412" t="inlineStr">
        <is>
          <t xml:space="preserve">50</t>
        </is>
      </c>
      <c r="G412">
        <v>47</v>
      </c>
      <c r="H412" s="2">
        <v>27.0</v>
      </c>
      <c r="I412" t="inlineStr">
        <is>
          <t xml:space="preserve">98% хлопок, 2% эластан</t>
        </is>
      </c>
      <c r="J412"/>
      <c r="K412" t="inlineStr">
        <is>
          <t xml:space="preserve">Бангладеш</t>
        </is>
      </c>
      <c r="L412" t="inlineStr">
        <is>
          <t xml:space="preserve">6110209100</t>
        </is>
      </c>
      <c r="M412" t="inlineStr">
        <is>
          <t xml:space="preserve">Декларация № ЕАЭС № BY/112 11.01. ТР017 122.01 08246, до 19.04.2028</t>
        </is>
      </c>
      <c r="N412" t="inlineStr">
        <is>
          <t xml:space="preserve">37 × 27 × 2</t>
        </is>
      </c>
      <c r="O412" t="inlineStr">
        <is>
          <t xml:space="preserve">0,36</t>
        </is>
      </c>
      <c r="P412" t="inlineStr">
        <is>
          <t xml:space="preserve">4816148138170</t>
        </is>
      </c>
      <c r="Q412" s="3" t="str">
        <f>HYPERLINK("https://modify.by/img/258242610/1.webp","фото")</f>
        <v>фото</v>
      </c>
      <c r="R412" s="3" t="str">
        <f>HYPERLINK("https://modify.by/catalog/svitery/258242610/?utm_source=price&amp;utm_medium=xlsx","открыть")</f>
        <v>открыть</v>
      </c>
    </row>
    <row r="413">
      <c r="A413" t="inlineStr">
        <is>
          <t xml:space="preserve">Мужской</t>
        </is>
      </c>
      <c r="B413" t="inlineStr">
        <is>
          <t xml:space="preserve">Свитеры</t>
        </is>
      </c>
      <c r="C413" t="inlineStr">
        <is>
          <t xml:space="preserve">Джемпер V-образный вырез хлопок базовый тонкий, песочный</t>
        </is>
      </c>
      <c r="D413" t="inlineStr">
        <is>
          <t xml:space="preserve">SW42M04песочный</t>
        </is>
      </c>
      <c r="E413" t="inlineStr">
        <is>
          <t xml:space="preserve">песочный, бежевый лайт</t>
        </is>
      </c>
      <c r="F413" t="inlineStr">
        <is>
          <t xml:space="preserve">54</t>
        </is>
      </c>
      <c r="G413">
        <v>16</v>
      </c>
      <c r="H413" s="2">
        <v>27.0</v>
      </c>
      <c r="I413" t="inlineStr">
        <is>
          <t xml:space="preserve">98% хлопок, 2% эластан</t>
        </is>
      </c>
      <c r="J413"/>
      <c r="K413" t="inlineStr">
        <is>
          <t xml:space="preserve">Бангладеш</t>
        </is>
      </c>
      <c r="L413" t="inlineStr">
        <is>
          <t xml:space="preserve">6110209100</t>
        </is>
      </c>
      <c r="M413" t="inlineStr">
        <is>
          <t xml:space="preserve">Декларация № ЕАЭС № BY/112 11.01. ТР017 122.01 08246, до 19.04.2028</t>
        </is>
      </c>
      <c r="N413" t="inlineStr">
        <is>
          <t xml:space="preserve">37 × 27 × 2</t>
        </is>
      </c>
      <c r="O413" t="inlineStr">
        <is>
          <t xml:space="preserve">0,36</t>
        </is>
      </c>
      <c r="P413" t="inlineStr">
        <is>
          <t xml:space="preserve">4816148138194</t>
        </is>
      </c>
      <c r="Q413" s="3" t="str">
        <f>HYPERLINK("https://modify.by/img/258242610/1.webp","фото")</f>
        <v>фото</v>
      </c>
      <c r="R413" s="3" t="str">
        <f>HYPERLINK("https://modify.by/catalog/svitery/258242610/?utm_source=price&amp;utm_medium=xlsx","открыть")</f>
        <v>открыть</v>
      </c>
    </row>
    <row r="414">
      <c r="A414" t="inlineStr">
        <is>
          <t xml:space="preserve">Мужской</t>
        </is>
      </c>
      <c r="B414" t="inlineStr">
        <is>
          <t xml:space="preserve">Свитеры</t>
        </is>
      </c>
      <c r="C414" t="inlineStr">
        <is>
          <t xml:space="preserve">Джемпер V-образный вырез хлопок базовый тонкий, темно-синий</t>
        </is>
      </c>
      <c r="D414" t="inlineStr">
        <is>
          <t xml:space="preserve">SW42M04темно-синий</t>
        </is>
      </c>
      <c r="E414" t="inlineStr">
        <is>
          <t xml:space="preserve">темно-синий</t>
        </is>
      </c>
      <c r="F414" t="inlineStr">
        <is>
          <t xml:space="preserve">46</t>
        </is>
      </c>
      <c r="G414">
        <v>6</v>
      </c>
      <c r="H414" s="2">
        <v>27.0</v>
      </c>
      <c r="I414" t="inlineStr">
        <is>
          <t xml:space="preserve">98% хлопок, 2% эластан</t>
        </is>
      </c>
      <c r="J414"/>
      <c r="K414" t="inlineStr">
        <is>
          <t xml:space="preserve">Бангладеш</t>
        </is>
      </c>
      <c r="L414" t="inlineStr">
        <is>
          <t xml:space="preserve">6110209100</t>
        </is>
      </c>
      <c r="M414" t="inlineStr">
        <is>
          <t xml:space="preserve">Декларация № ЕАЭС № BY/112 11.01. ТР017 122.01 08246, до 19.04.2028</t>
        </is>
      </c>
      <c r="N414" t="inlineStr">
        <is>
          <t xml:space="preserve">37 × 27 × 2</t>
        </is>
      </c>
      <c r="O414" t="inlineStr">
        <is>
          <t xml:space="preserve">0,36</t>
        </is>
      </c>
      <c r="P414" t="inlineStr">
        <is>
          <t xml:space="preserve">4816148138101</t>
        </is>
      </c>
      <c r="Q414" s="3" t="str">
        <f>HYPERLINK("https://modify.by/img/258242609/1.webp","фото")</f>
        <v>фото</v>
      </c>
      <c r="R414" s="3" t="str">
        <f>HYPERLINK("https://modify.by/catalog/svitery/258242609/?utm_source=price&amp;utm_medium=xlsx","открыть")</f>
        <v>открыть</v>
      </c>
    </row>
    <row r="415">
      <c r="A415" t="inlineStr">
        <is>
          <t xml:space="preserve">Мужской</t>
        </is>
      </c>
      <c r="B415" t="inlineStr">
        <is>
          <t xml:space="preserve">Свитеры</t>
        </is>
      </c>
      <c r="C415" t="inlineStr">
        <is>
          <t xml:space="preserve">Джемпер V-образный вырез хлопок базовый тонкий, темно-синий</t>
        </is>
      </c>
      <c r="D415" t="inlineStr">
        <is>
          <t xml:space="preserve">SW42M04темно-синий</t>
        </is>
      </c>
      <c r="E415" t="inlineStr">
        <is>
          <t xml:space="preserve">темно-синий</t>
        </is>
      </c>
      <c r="F415" t="inlineStr">
        <is>
          <t xml:space="preserve">48</t>
        </is>
      </c>
      <c r="G415">
        <v>14</v>
      </c>
      <c r="H415" s="2">
        <v>27.0</v>
      </c>
      <c r="I415" t="inlineStr">
        <is>
          <t xml:space="preserve">98% хлопок, 2% эластан</t>
        </is>
      </c>
      <c r="J415"/>
      <c r="K415" t="inlineStr">
        <is>
          <t xml:space="preserve">Бангладеш</t>
        </is>
      </c>
      <c r="L415" t="inlineStr">
        <is>
          <t xml:space="preserve">6110209100</t>
        </is>
      </c>
      <c r="M415" t="inlineStr">
        <is>
          <t xml:space="preserve">Декларация № ЕАЭС № BY/112 11.01. ТР017 122.01 08246, до 19.04.2028</t>
        </is>
      </c>
      <c r="N415" t="inlineStr">
        <is>
          <t xml:space="preserve">37 × 27 × 2</t>
        </is>
      </c>
      <c r="O415" t="inlineStr">
        <is>
          <t xml:space="preserve">0,36</t>
        </is>
      </c>
      <c r="P415" t="inlineStr">
        <is>
          <t xml:space="preserve">4816148138118</t>
        </is>
      </c>
      <c r="Q415" s="3" t="str">
        <f>HYPERLINK("https://modify.by/img/258242609/1.webp","фото")</f>
        <v>фото</v>
      </c>
      <c r="R415" s="3" t="str">
        <f>HYPERLINK("https://modify.by/catalog/svitery/258242609/?utm_source=price&amp;utm_medium=xlsx","открыть")</f>
        <v>открыть</v>
      </c>
    </row>
    <row r="416">
      <c r="A416" t="inlineStr">
        <is>
          <t xml:space="preserve">Мужской</t>
        </is>
      </c>
      <c r="B416" t="inlineStr">
        <is>
          <t xml:space="preserve">Свитеры</t>
        </is>
      </c>
      <c r="C416" t="inlineStr">
        <is>
          <t xml:space="preserve">Джемпер базовый классический 100%хлопок</t>
        </is>
      </c>
      <c r="D416" t="inlineStr">
        <is>
          <t xml:space="preserve">SW52M04темно-синий/176</t>
        </is>
      </c>
      <c r="E416" t="inlineStr">
        <is>
          <t xml:space="preserve">темно-синий</t>
        </is>
      </c>
      <c r="F416" t="inlineStr">
        <is>
          <t xml:space="preserve">50</t>
        </is>
      </c>
      <c r="G416">
        <v>4</v>
      </c>
      <c r="H416" s="2">
        <v>36.0</v>
      </c>
      <c r="I416" t="inlineStr">
        <is>
          <t xml:space="preserve">хлопок 100%</t>
        </is>
      </c>
      <c r="J416"/>
      <c r="K416" t="inlineStr">
        <is>
          <t xml:space="preserve">Бангладеш</t>
        </is>
      </c>
      <c r="L416" t="inlineStr">
        <is>
          <t xml:space="preserve">6110209100</t>
        </is>
      </c>
      <c r="M416" t="inlineStr">
        <is>
          <t xml:space="preserve">Декларация № ЕАЭС № BY/112 11.01. ТР017 122.01 08246, до 19.04.2028</t>
        </is>
      </c>
      <c r="N416" t="inlineStr">
        <is>
          <t xml:space="preserve">40 × 30 × 2</t>
        </is>
      </c>
      <c r="O416" t="inlineStr">
        <is>
          <t xml:space="preserve">0,37</t>
        </is>
      </c>
      <c r="P416" t="inlineStr">
        <is>
          <t xml:space="preserve">4816148169631</t>
        </is>
      </c>
      <c r="Q416" s="3" t="str">
        <f>HYPERLINK("https://modify.by/img/157027466/1.webp","фото")</f>
        <v>фото</v>
      </c>
      <c r="R416" s="3" t="str">
        <f>HYPERLINK("https://modify.by/catalog/svitery/157027466/?utm_source=price&amp;utm_medium=xlsx","открыть")</f>
        <v>открыть</v>
      </c>
    </row>
    <row r="417">
      <c r="A417" t="inlineStr">
        <is>
          <t xml:space="preserve">Мужской</t>
        </is>
      </c>
      <c r="B417" t="inlineStr">
        <is>
          <t xml:space="preserve">Свитеры</t>
        </is>
      </c>
      <c r="C417" t="inlineStr">
        <is>
          <t xml:space="preserve">Джемпер базовый офисный тонкий шерсть в составе</t>
        </is>
      </c>
      <c r="D417" t="inlineStr">
        <is>
          <t xml:space="preserve">SW52M03серый</t>
        </is>
      </c>
      <c r="E417" t="inlineStr">
        <is>
          <t xml:space="preserve">серый меланж, светло-серый</t>
        </is>
      </c>
      <c r="F417" t="inlineStr">
        <is>
          <t xml:space="preserve">48</t>
        </is>
      </c>
      <c r="G417">
        <v>19</v>
      </c>
      <c r="H417" s="2">
        <v>32.0</v>
      </c>
      <c r="I417" t="inlineStr">
        <is>
          <t xml:space="preserve">30% шерсть 18% вискоза 18% акрил 17% полиэстер 17% полиамид</t>
        </is>
      </c>
      <c r="J417"/>
      <c r="K417" t="inlineStr">
        <is>
          <t xml:space="preserve">Бангладеш</t>
        </is>
      </c>
      <c r="L417" t="inlineStr">
        <is>
          <t xml:space="preserve">6110209100</t>
        </is>
      </c>
      <c r="M417" t="inlineStr">
        <is>
          <t xml:space="preserve">Декларация № ЕАЭС № BY/112 11.01. ТР017 122.01 08246, до 19.04.2028</t>
        </is>
      </c>
      <c r="N417" t="inlineStr">
        <is>
          <t xml:space="preserve">37 × 30 × 2</t>
        </is>
      </c>
      <c r="O417" t="inlineStr">
        <is>
          <t xml:space="preserve">0,38</t>
        </is>
      </c>
      <c r="P417" t="inlineStr">
        <is>
          <t xml:space="preserve">4816148171184</t>
        </is>
      </c>
      <c r="Q417" s="3" t="str">
        <f>HYPERLINK("https://modify.by/img/598388470/1.webp","фото")</f>
        <v>фото</v>
      </c>
      <c r="R417" s="3" t="str">
        <f>HYPERLINK("https://modify.by/catalog/svitery/598388470/?utm_source=price&amp;utm_medium=xlsx","открыть")</f>
        <v>открыть</v>
      </c>
    </row>
    <row r="418">
      <c r="A418" t="inlineStr">
        <is>
          <t xml:space="preserve">Мужской</t>
        </is>
      </c>
      <c r="B418" t="inlineStr">
        <is>
          <t xml:space="preserve">Свитеры</t>
        </is>
      </c>
      <c r="C418" t="inlineStr">
        <is>
          <t xml:space="preserve">Джемпер базовый офисный тонкий шерсть в составе</t>
        </is>
      </c>
      <c r="D418" t="inlineStr">
        <is>
          <t xml:space="preserve">SW52M03серый</t>
        </is>
      </c>
      <c r="E418" t="inlineStr">
        <is>
          <t xml:space="preserve">серый меланж, светло-серый</t>
        </is>
      </c>
      <c r="F418" t="inlineStr">
        <is>
          <t xml:space="preserve">50</t>
        </is>
      </c>
      <c r="G418">
        <v>45</v>
      </c>
      <c r="H418" s="2">
        <v>32.0</v>
      </c>
      <c r="I418" t="inlineStr">
        <is>
          <t xml:space="preserve">30% шерсть 18% вискоза 18% акрил 17% полиэстер 17% полиамид</t>
        </is>
      </c>
      <c r="J418"/>
      <c r="K418" t="inlineStr">
        <is>
          <t xml:space="preserve">Бангладеш</t>
        </is>
      </c>
      <c r="L418" t="inlineStr">
        <is>
          <t xml:space="preserve">6110209100</t>
        </is>
      </c>
      <c r="M418" t="inlineStr">
        <is>
          <t xml:space="preserve">Декларация № ЕАЭС № BY/112 11.01. ТР017 122.01 08246, до 19.04.2028</t>
        </is>
      </c>
      <c r="N418" t="inlineStr">
        <is>
          <t xml:space="preserve">37 × 30 × 2</t>
        </is>
      </c>
      <c r="O418" t="inlineStr">
        <is>
          <t xml:space="preserve">0,38</t>
        </is>
      </c>
      <c r="P418" t="inlineStr">
        <is>
          <t xml:space="preserve">4816148171191</t>
        </is>
      </c>
      <c r="Q418" s="3" t="str">
        <f>HYPERLINK("https://modify.by/img/598388470/1.webp","фото")</f>
        <v>фото</v>
      </c>
      <c r="R418" s="3" t="str">
        <f>HYPERLINK("https://modify.by/catalog/svitery/598388470/?utm_source=price&amp;utm_medium=xlsx","открыть")</f>
        <v>открыть</v>
      </c>
    </row>
    <row r="419">
      <c r="A419" t="inlineStr">
        <is>
          <t xml:space="preserve">Мужской</t>
        </is>
      </c>
      <c r="B419" t="inlineStr">
        <is>
          <t xml:space="preserve">Свитеры</t>
        </is>
      </c>
      <c r="C419" t="inlineStr">
        <is>
          <t xml:space="preserve">Джемпер базовый офисный тонкий шерсть в составе</t>
        </is>
      </c>
      <c r="D419" t="inlineStr">
        <is>
          <t xml:space="preserve">SW52M03серый</t>
        </is>
      </c>
      <c r="E419" t="inlineStr">
        <is>
          <t xml:space="preserve">серый меланж, светло-серый</t>
        </is>
      </c>
      <c r="F419" t="inlineStr">
        <is>
          <t xml:space="preserve">52</t>
        </is>
      </c>
      <c r="G419">
        <v>94</v>
      </c>
      <c r="H419" s="2">
        <v>32.0</v>
      </c>
      <c r="I419" t="inlineStr">
        <is>
          <t xml:space="preserve">30% шерсть 18% вискоза 18% акрил 17% полиэстер 17% полиамид</t>
        </is>
      </c>
      <c r="J419"/>
      <c r="K419" t="inlineStr">
        <is>
          <t xml:space="preserve">Бангладеш</t>
        </is>
      </c>
      <c r="L419" t="inlineStr">
        <is>
          <t xml:space="preserve">6110209100</t>
        </is>
      </c>
      <c r="M419" t="inlineStr">
        <is>
          <t xml:space="preserve">Декларация № ЕАЭС № BY/112 11.01. ТР017 122.01 08246, до 19.04.2028</t>
        </is>
      </c>
      <c r="N419" t="inlineStr">
        <is>
          <t xml:space="preserve">37 × 30 × 2</t>
        </is>
      </c>
      <c r="O419" t="inlineStr">
        <is>
          <t xml:space="preserve">0,38</t>
        </is>
      </c>
      <c r="P419" t="inlineStr">
        <is>
          <t xml:space="preserve">4816148171207</t>
        </is>
      </c>
      <c r="Q419" s="3" t="str">
        <f>HYPERLINK("https://modify.by/img/598388470/1.webp","фото")</f>
        <v>фото</v>
      </c>
      <c r="R419" s="3" t="str">
        <f>HYPERLINK("https://modify.by/catalog/svitery/598388470/?utm_source=price&amp;utm_medium=xlsx","открыть")</f>
        <v>открыть</v>
      </c>
    </row>
    <row r="420">
      <c r="A420" t="inlineStr">
        <is>
          <t xml:space="preserve">Мужской</t>
        </is>
      </c>
      <c r="B420" t="inlineStr">
        <is>
          <t xml:space="preserve">Свитеры</t>
        </is>
      </c>
      <c r="C420" t="inlineStr">
        <is>
          <t xml:space="preserve">Джемпер базовый теплый хлопковый большие размеры</t>
        </is>
      </c>
      <c r="D420" t="inlineStr">
        <is>
          <t xml:space="preserve">SW52M04бородовый/176</t>
        </is>
      </c>
      <c r="E420" t="inlineStr">
        <is>
          <t xml:space="preserve">бордовый</t>
        </is>
      </c>
      <c r="F420" t="inlineStr">
        <is>
          <t xml:space="preserve">48</t>
        </is>
      </c>
      <c r="G420">
        <v>12</v>
      </c>
      <c r="H420" s="2">
        <v>36.0</v>
      </c>
      <c r="I420" t="inlineStr">
        <is>
          <t xml:space="preserve">хлопок 100%</t>
        </is>
      </c>
      <c r="J420"/>
      <c r="K420" t="inlineStr">
        <is>
          <t xml:space="preserve">Бангладеш</t>
        </is>
      </c>
      <c r="L420" t="inlineStr">
        <is>
          <t xml:space="preserve">6110209100</t>
        </is>
      </c>
      <c r="M420" t="inlineStr">
        <is>
          <t xml:space="preserve">Декларация № ЕАЭС № BY/112 11.01. ТР017 122.01 08246, до 19.04.2028</t>
        </is>
      </c>
      <c r="N420" t="inlineStr">
        <is>
          <t xml:space="preserve">40 × 20 × 2</t>
        </is>
      </c>
      <c r="O420" t="inlineStr">
        <is>
          <t xml:space="preserve">0,37</t>
        </is>
      </c>
      <c r="P420" t="inlineStr">
        <is>
          <t xml:space="preserve">4816148169891</t>
        </is>
      </c>
      <c r="Q420" s="3" t="str">
        <f>HYPERLINK("https://modify.by/img/538881643/1.webp","фото")</f>
        <v>фото</v>
      </c>
      <c r="R420" s="3" t="str">
        <f>HYPERLINK("https://modify.by/catalog/svitery/538881643/?utm_source=price&amp;utm_medium=xlsx","открыть")</f>
        <v>открыть</v>
      </c>
    </row>
    <row r="421">
      <c r="A421" t="inlineStr">
        <is>
          <t xml:space="preserve">Мужской</t>
        </is>
      </c>
      <c r="B421" t="inlineStr">
        <is>
          <t xml:space="preserve">Свитеры</t>
        </is>
      </c>
      <c r="C421" t="inlineStr">
        <is>
          <t xml:space="preserve">Джемпер базовый теплый хлопковый большие размеры</t>
        </is>
      </c>
      <c r="D421" t="inlineStr">
        <is>
          <t xml:space="preserve">SW52M04бородовый/176</t>
        </is>
      </c>
      <c r="E421" t="inlineStr">
        <is>
          <t xml:space="preserve">бордовый</t>
        </is>
      </c>
      <c r="F421" t="inlineStr">
        <is>
          <t xml:space="preserve">50</t>
        </is>
      </c>
      <c r="G421">
        <v>5</v>
      </c>
      <c r="H421" s="2">
        <v>36.0</v>
      </c>
      <c r="I421" t="inlineStr">
        <is>
          <t xml:space="preserve">хлопок 100%</t>
        </is>
      </c>
      <c r="J421"/>
      <c r="K421" t="inlineStr">
        <is>
          <t xml:space="preserve">Бангладеш</t>
        </is>
      </c>
      <c r="L421" t="inlineStr">
        <is>
          <t xml:space="preserve">6110209100</t>
        </is>
      </c>
      <c r="M421" t="inlineStr">
        <is>
          <t xml:space="preserve">Декларация № ЕАЭС № BY/112 11.01. ТР017 122.01 08246, до 19.04.2028</t>
        </is>
      </c>
      <c r="N421" t="inlineStr">
        <is>
          <t xml:space="preserve">40 × 20 × 2</t>
        </is>
      </c>
      <c r="O421" t="inlineStr">
        <is>
          <t xml:space="preserve">0,37</t>
        </is>
      </c>
      <c r="P421" t="inlineStr">
        <is>
          <t xml:space="preserve">4816148169907</t>
        </is>
      </c>
      <c r="Q421" s="3" t="str">
        <f>HYPERLINK("https://modify.by/img/538881643/1.webp","фото")</f>
        <v>фото</v>
      </c>
      <c r="R421" s="3" t="str">
        <f>HYPERLINK("https://modify.by/catalog/svitery/538881643/?utm_source=price&amp;utm_medium=xlsx","открыть")</f>
        <v>открыть</v>
      </c>
    </row>
    <row r="422">
      <c r="A422" t="inlineStr">
        <is>
          <t xml:space="preserve">Мужской</t>
        </is>
      </c>
      <c r="B422" t="inlineStr">
        <is>
          <t xml:space="preserve">Свитеры</t>
        </is>
      </c>
      <c r="C422" t="inlineStr">
        <is>
          <t xml:space="preserve">Джемпер классический офисный, светлый хаки</t>
        </is>
      </c>
      <c r="D422" t="inlineStr">
        <is>
          <t xml:space="preserve">SW42M04светлый хаки</t>
        </is>
      </c>
      <c r="E422" t="inlineStr">
        <is>
          <t xml:space="preserve">светлый хаки, светло-зеленый</t>
        </is>
      </c>
      <c r="F422" t="inlineStr">
        <is>
          <t xml:space="preserve">46</t>
        </is>
      </c>
      <c r="G422">
        <v>8</v>
      </c>
      <c r="H422" s="2">
        <v>27.0</v>
      </c>
      <c r="I422" t="inlineStr">
        <is>
          <t xml:space="preserve">98% хлопок, 2% эластан</t>
        </is>
      </c>
      <c r="J422"/>
      <c r="K422" t="inlineStr">
        <is>
          <t xml:space="preserve">Бангладеш</t>
        </is>
      </c>
      <c r="L422" t="inlineStr">
        <is>
          <t xml:space="preserve">6110209100</t>
        </is>
      </c>
      <c r="M422" t="inlineStr">
        <is>
          <t xml:space="preserve">Декларация № ЕАЭС № BY/112 11.01. ТР017 122.01 08246, до 19.04.2028</t>
        </is>
      </c>
      <c r="N422" t="inlineStr">
        <is>
          <t xml:space="preserve">37 × 27 × 2</t>
        </is>
      </c>
      <c r="O422" t="inlineStr">
        <is>
          <t xml:space="preserve">0,36</t>
        </is>
      </c>
      <c r="P422" t="inlineStr">
        <is>
          <t xml:space="preserve">4816148138255</t>
        </is>
      </c>
      <c r="Q422" s="3" t="str">
        <f>HYPERLINK("https://modify.by/img/258242612/1.webp","фото")</f>
        <v>фото</v>
      </c>
      <c r="R422" s="3" t="str">
        <f>HYPERLINK("https://modify.by/catalog/svitery/258242612/?utm_source=price&amp;utm_medium=xlsx","открыть")</f>
        <v>открыть</v>
      </c>
    </row>
    <row r="423">
      <c r="A423" t="inlineStr">
        <is>
          <t xml:space="preserve">Мужской</t>
        </is>
      </c>
      <c r="B423" t="inlineStr">
        <is>
          <t xml:space="preserve">Свитеры</t>
        </is>
      </c>
      <c r="C423" t="inlineStr">
        <is>
          <t xml:space="preserve">Джемпер классический офисный, светлый хаки</t>
        </is>
      </c>
      <c r="D423" t="inlineStr">
        <is>
          <t xml:space="preserve">SW42M04светлый хаки</t>
        </is>
      </c>
      <c r="E423" t="inlineStr">
        <is>
          <t xml:space="preserve">светлый хаки, светло-зеленый</t>
        </is>
      </c>
      <c r="F423" t="inlineStr">
        <is>
          <t xml:space="preserve">48</t>
        </is>
      </c>
      <c r="G423">
        <v>4</v>
      </c>
      <c r="H423" s="2">
        <v>27.0</v>
      </c>
      <c r="I423" t="inlineStr">
        <is>
          <t xml:space="preserve">98% хлопок, 2% эластан</t>
        </is>
      </c>
      <c r="J423"/>
      <c r="K423" t="inlineStr">
        <is>
          <t xml:space="preserve">Бангладеш</t>
        </is>
      </c>
      <c r="L423" t="inlineStr">
        <is>
          <t xml:space="preserve">6110209100</t>
        </is>
      </c>
      <c r="M423" t="inlineStr">
        <is>
          <t xml:space="preserve">Декларация № ЕАЭС № BY/112 11.01. ТР017 122.01 08246, до 19.04.2028</t>
        </is>
      </c>
      <c r="N423" t="inlineStr">
        <is>
          <t xml:space="preserve">37 × 27 × 2</t>
        </is>
      </c>
      <c r="O423" t="inlineStr">
        <is>
          <t xml:space="preserve">0,36</t>
        </is>
      </c>
      <c r="P423" t="inlineStr">
        <is>
          <t xml:space="preserve">4816148138262</t>
        </is>
      </c>
      <c r="Q423" s="3" t="str">
        <f>HYPERLINK("https://modify.by/img/258242612/1.webp","фото")</f>
        <v>фото</v>
      </c>
      <c r="R423" s="3" t="str">
        <f>HYPERLINK("https://modify.by/catalog/svitery/258242612/?utm_source=price&amp;utm_medium=xlsx","открыть")</f>
        <v>открыть</v>
      </c>
    </row>
    <row r="424">
      <c r="A424" t="inlineStr">
        <is>
          <t xml:space="preserve">Мужской</t>
        </is>
      </c>
      <c r="B424" t="inlineStr">
        <is>
          <t xml:space="preserve">Свитеры</t>
        </is>
      </c>
      <c r="C424" t="inlineStr">
        <is>
          <t xml:space="preserve">Джемпер классический офисный, светлый хаки</t>
        </is>
      </c>
      <c r="D424" t="inlineStr">
        <is>
          <t xml:space="preserve">SW42M04светлый хаки</t>
        </is>
      </c>
      <c r="E424" t="inlineStr">
        <is>
          <t xml:space="preserve">светлый хаки, светло-зеленый</t>
        </is>
      </c>
      <c r="F424" t="inlineStr">
        <is>
          <t xml:space="preserve">50</t>
        </is>
      </c>
      <c r="G424">
        <v>2</v>
      </c>
      <c r="H424" s="2">
        <v>27.0</v>
      </c>
      <c r="I424" t="inlineStr">
        <is>
          <t xml:space="preserve">98% хлопок, 2% эластан</t>
        </is>
      </c>
      <c r="J424"/>
      <c r="K424" t="inlineStr">
        <is>
          <t xml:space="preserve">Бангладеш</t>
        </is>
      </c>
      <c r="L424" t="inlineStr">
        <is>
          <t xml:space="preserve">6110209100</t>
        </is>
      </c>
      <c r="M424" t="inlineStr">
        <is>
          <t xml:space="preserve">Декларация № ЕАЭС № BY/112 11.01. ТР017 122.01 08246, до 19.04.2028</t>
        </is>
      </c>
      <c r="N424" t="inlineStr">
        <is>
          <t xml:space="preserve">37 × 27 × 2</t>
        </is>
      </c>
      <c r="O424" t="inlineStr">
        <is>
          <t xml:space="preserve">0,36</t>
        </is>
      </c>
      <c r="P424" t="inlineStr">
        <is>
          <t xml:space="preserve">4816148138279</t>
        </is>
      </c>
      <c r="Q424" s="3" t="str">
        <f>HYPERLINK("https://modify.by/img/258242612/1.webp","фото")</f>
        <v>фото</v>
      </c>
      <c r="R424" s="3" t="str">
        <f>HYPERLINK("https://modify.by/catalog/svitery/258242612/?utm_source=price&amp;utm_medium=xlsx","открыть")</f>
        <v>открыть</v>
      </c>
    </row>
    <row r="425">
      <c r="A425" t="inlineStr">
        <is>
          <t xml:space="preserve">Мужской</t>
        </is>
      </c>
      <c r="B425" t="inlineStr">
        <is>
          <t xml:space="preserve">Свитеры</t>
        </is>
      </c>
      <c r="C425" t="inlineStr">
        <is>
          <t xml:space="preserve">Джемпер классический офисный, хаки</t>
        </is>
      </c>
      <c r="D425" t="inlineStr">
        <is>
          <t xml:space="preserve">SW42M04хаки</t>
        </is>
      </c>
      <c r="E425" t="inlineStr">
        <is>
          <t xml:space="preserve">хаки, темно-оливковый</t>
        </is>
      </c>
      <c r="F425" t="inlineStr">
        <is>
          <t xml:space="preserve">48</t>
        </is>
      </c>
      <c r="G425">
        <v>2</v>
      </c>
      <c r="H425" s="2">
        <v>27.0</v>
      </c>
      <c r="I425" t="inlineStr">
        <is>
          <t xml:space="preserve">98% хлопок, 2% эластан</t>
        </is>
      </c>
      <c r="J425"/>
      <c r="K425" t="inlineStr">
        <is>
          <t xml:space="preserve">Бангладеш</t>
        </is>
      </c>
      <c r="L425" t="inlineStr">
        <is>
          <t xml:space="preserve">6110209100</t>
        </is>
      </c>
      <c r="M425" t="inlineStr">
        <is>
          <t xml:space="preserve">Декларация № ЕАЭС № BY/112 11.01. ТР017 122.01 08246, до 19.04.2028</t>
        </is>
      </c>
      <c r="N425" t="inlineStr">
        <is>
          <t xml:space="preserve">37 × 27 × 2</t>
        </is>
      </c>
      <c r="O425" t="inlineStr">
        <is>
          <t xml:space="preserve">0,36</t>
        </is>
      </c>
      <c r="P425" t="inlineStr">
        <is>
          <t xml:space="preserve">4816148138217</t>
        </is>
      </c>
      <c r="Q425" s="3" t="str">
        <f>HYPERLINK("https://modify.by/img/258242611/1.webp","фото")</f>
        <v>фото</v>
      </c>
      <c r="R425" s="3" t="str">
        <f>HYPERLINK("https://modify.by/catalog/svitery/258242611/?utm_source=price&amp;utm_medium=xlsx","открыть")</f>
        <v>открыть</v>
      </c>
    </row>
    <row r="426">
      <c r="A426" t="inlineStr">
        <is>
          <t xml:space="preserve">Мужской</t>
        </is>
      </c>
      <c r="B426" t="inlineStr">
        <is>
          <t xml:space="preserve">Свитеры</t>
        </is>
      </c>
      <c r="C426" t="inlineStr">
        <is>
          <t xml:space="preserve">Джемпер классический хлопковый с V-образным вырезом, горчичный</t>
        </is>
      </c>
      <c r="D426" t="inlineStr">
        <is>
          <t xml:space="preserve">SW62M05Горчичный</t>
        </is>
      </c>
      <c r="E426" t="inlineStr">
        <is>
          <t xml:space="preserve">горчичный</t>
        </is>
      </c>
      <c r="F426" t="inlineStr">
        <is>
          <t xml:space="preserve">46-48</t>
        </is>
      </c>
      <c r="G426">
        <v>6</v>
      </c>
      <c r="H426" s="2">
        <v>33.0</v>
      </c>
      <c r="I426" t="inlineStr">
        <is>
          <t xml:space="preserve">100% Хлопок</t>
        </is>
      </c>
      <c r="J426"/>
      <c r="K426" t="inlineStr">
        <is>
          <t xml:space="preserve">Бангладеш</t>
        </is>
      </c>
      <c r="L426" t="inlineStr">
        <is>
          <t xml:space="preserve">6110209100</t>
        </is>
      </c>
      <c r="M426" t="inlineStr">
        <is>
          <t xml:space="preserve">Декларация № ЕАЭС № BY/112 11.01. ТР017 122.01 08246, до 19.04.2028</t>
        </is>
      </c>
      <c r="N426" t="inlineStr">
        <is>
          <t xml:space="preserve">28 × 12 × 11</t>
        </is>
      </c>
      <c r="O426" t="inlineStr">
        <is>
          <t xml:space="preserve">0,51</t>
        </is>
      </c>
      <c r="P426" t="inlineStr">
        <is>
          <t xml:space="preserve">4816148185990</t>
        </is>
      </c>
      <c r="Q426" s="3" t="str">
        <f>HYPERLINK("https://modify.by/img/1559702839/1.webp","фото")</f>
        <v>фото</v>
      </c>
      <c r="R426" s="3" t="str">
        <f>HYPERLINK("https://modify.by/catalog/svitery/1559702839/?utm_source=price&amp;utm_medium=xlsx","открыть")</f>
        <v>открыть</v>
      </c>
    </row>
    <row r="427">
      <c r="A427" t="inlineStr">
        <is>
          <t xml:space="preserve">Мужской</t>
        </is>
      </c>
      <c r="B427" t="inlineStr">
        <is>
          <t xml:space="preserve">Свитеры</t>
        </is>
      </c>
      <c r="C427" t="inlineStr">
        <is>
          <t xml:space="preserve">Джемпер классический хлопковый с V-образным вырезом, горчичный</t>
        </is>
      </c>
      <c r="D427" t="inlineStr">
        <is>
          <t xml:space="preserve">SW62M05Горчичный</t>
        </is>
      </c>
      <c r="E427" t="inlineStr">
        <is>
          <t xml:space="preserve">горчичный</t>
        </is>
      </c>
      <c r="F427" t="inlineStr">
        <is>
          <t xml:space="preserve">48-50</t>
        </is>
      </c>
      <c r="G427">
        <v>4</v>
      </c>
      <c r="H427" s="2">
        <v>33.0</v>
      </c>
      <c r="I427" t="inlineStr">
        <is>
          <t xml:space="preserve">100% Хлопок</t>
        </is>
      </c>
      <c r="J427"/>
      <c r="K427" t="inlineStr">
        <is>
          <t xml:space="preserve">Бангладеш</t>
        </is>
      </c>
      <c r="L427" t="inlineStr">
        <is>
          <t xml:space="preserve">6110209100</t>
        </is>
      </c>
      <c r="M427" t="inlineStr">
        <is>
          <t xml:space="preserve">Декларация № ЕАЭС № BY/112 11.01. ТР017 122.01 08246, до 19.04.2028</t>
        </is>
      </c>
      <c r="N427" t="inlineStr">
        <is>
          <t xml:space="preserve">28 × 12 × 11</t>
        </is>
      </c>
      <c r="O427" t="inlineStr">
        <is>
          <t xml:space="preserve">0,51</t>
        </is>
      </c>
      <c r="P427" t="inlineStr">
        <is>
          <t xml:space="preserve">4816148186003</t>
        </is>
      </c>
      <c r="Q427" s="3" t="str">
        <f>HYPERLINK("https://modify.by/img/1559702839/1.webp","фото")</f>
        <v>фото</v>
      </c>
      <c r="R427" s="3" t="str">
        <f>HYPERLINK("https://modify.by/catalog/svitery/1559702839/?utm_source=price&amp;utm_medium=xlsx","открыть")</f>
        <v>открыть</v>
      </c>
    </row>
    <row r="428">
      <c r="A428" t="inlineStr">
        <is>
          <t xml:space="preserve">Мужской</t>
        </is>
      </c>
      <c r="B428" t="inlineStr">
        <is>
          <t xml:space="preserve">Свитеры</t>
        </is>
      </c>
      <c r="C428" t="inlineStr">
        <is>
          <t xml:space="preserve">Джемпер классический хлопковый с V-образным вырезом, горчичный</t>
        </is>
      </c>
      <c r="D428" t="inlineStr">
        <is>
          <t xml:space="preserve">SW62M05Горчичный</t>
        </is>
      </c>
      <c r="E428" t="inlineStr">
        <is>
          <t xml:space="preserve">горчичный</t>
        </is>
      </c>
      <c r="F428" t="inlineStr">
        <is>
          <t xml:space="preserve">50-52</t>
        </is>
      </c>
      <c r="G428">
        <v>14</v>
      </c>
      <c r="H428" s="2">
        <v>33.0</v>
      </c>
      <c r="I428" t="inlineStr">
        <is>
          <t xml:space="preserve">100% Хлопок</t>
        </is>
      </c>
      <c r="J428"/>
      <c r="K428" t="inlineStr">
        <is>
          <t xml:space="preserve">Бангладеш</t>
        </is>
      </c>
      <c r="L428" t="inlineStr">
        <is>
          <t xml:space="preserve">6110209100</t>
        </is>
      </c>
      <c r="M428" t="inlineStr">
        <is>
          <t xml:space="preserve">Декларация № ЕАЭС № BY/112 11.01. ТР017 122.01 08246, до 19.04.2028</t>
        </is>
      </c>
      <c r="N428" t="inlineStr">
        <is>
          <t xml:space="preserve">28 × 12 × 11</t>
        </is>
      </c>
      <c r="O428" t="inlineStr">
        <is>
          <t xml:space="preserve">0,51</t>
        </is>
      </c>
      <c r="P428" t="inlineStr">
        <is>
          <t xml:space="preserve">4816148186010</t>
        </is>
      </c>
      <c r="Q428" s="3" t="str">
        <f>HYPERLINK("https://modify.by/img/1559702839/1.webp","фото")</f>
        <v>фото</v>
      </c>
      <c r="R428" s="3" t="str">
        <f>HYPERLINK("https://modify.by/catalog/svitery/1559702839/?utm_source=price&amp;utm_medium=xlsx","открыть")</f>
        <v>открыть</v>
      </c>
    </row>
    <row r="429">
      <c r="A429" t="inlineStr">
        <is>
          <t xml:space="preserve">Мужской</t>
        </is>
      </c>
      <c r="B429" t="inlineStr">
        <is>
          <t xml:space="preserve">Свитеры</t>
        </is>
      </c>
      <c r="C429" t="inlineStr">
        <is>
          <t xml:space="preserve">Джемпер классический хлопковый с V-образным вырезом, горчичный</t>
        </is>
      </c>
      <c r="D429" t="inlineStr">
        <is>
          <t xml:space="preserve">SW62M05Горчичный</t>
        </is>
      </c>
      <c r="E429" t="inlineStr">
        <is>
          <t xml:space="preserve">горчичный</t>
        </is>
      </c>
      <c r="F429" t="inlineStr">
        <is>
          <t xml:space="preserve">52-54</t>
        </is>
      </c>
      <c r="G429">
        <v>10</v>
      </c>
      <c r="H429" s="2">
        <v>33.0</v>
      </c>
      <c r="I429" t="inlineStr">
        <is>
          <t xml:space="preserve">100% Хлопок</t>
        </is>
      </c>
      <c r="J429"/>
      <c r="K429" t="inlineStr">
        <is>
          <t xml:space="preserve">Бангладеш</t>
        </is>
      </c>
      <c r="L429" t="inlineStr">
        <is>
          <t xml:space="preserve">6110209100</t>
        </is>
      </c>
      <c r="M429" t="inlineStr">
        <is>
          <t xml:space="preserve">Декларация № ЕАЭС № BY/112 11.01. ТР017 122.01 08246, до 19.04.2028</t>
        </is>
      </c>
      <c r="N429" t="inlineStr">
        <is>
          <t xml:space="preserve">28 × 12 × 11</t>
        </is>
      </c>
      <c r="O429" t="inlineStr">
        <is>
          <t xml:space="preserve">0,51</t>
        </is>
      </c>
      <c r="P429" t="inlineStr">
        <is>
          <t xml:space="preserve">4816148186027</t>
        </is>
      </c>
      <c r="Q429" s="3" t="str">
        <f>HYPERLINK("https://modify.by/img/1559702839/1.webp","фото")</f>
        <v>фото</v>
      </c>
      <c r="R429" s="3" t="str">
        <f>HYPERLINK("https://modify.by/catalog/svitery/1559702839/?utm_source=price&amp;utm_medium=xlsx","открыть")</f>
        <v>открыть</v>
      </c>
    </row>
    <row r="430">
      <c r="A430" t="inlineStr">
        <is>
          <t xml:space="preserve">Мужской</t>
        </is>
      </c>
      <c r="B430" t="inlineStr">
        <is>
          <t xml:space="preserve">Свитеры</t>
        </is>
      </c>
      <c r="C430" t="inlineStr">
        <is>
          <t xml:space="preserve">Джемпер классический хлопковый с V-образным вырезом, желтый</t>
        </is>
      </c>
      <c r="D430" t="inlineStr">
        <is>
          <t xml:space="preserve">SW62M05Желтый</t>
        </is>
      </c>
      <c r="E430" t="inlineStr">
        <is>
          <t xml:space="preserve">желтый</t>
        </is>
      </c>
      <c r="F430" t="inlineStr">
        <is>
          <t xml:space="preserve">50-52</t>
        </is>
      </c>
      <c r="G430">
        <v>1</v>
      </c>
      <c r="H430" s="2">
        <v>33.0</v>
      </c>
      <c r="I430" t="inlineStr">
        <is>
          <t xml:space="preserve">100% Хлопок</t>
        </is>
      </c>
      <c r="J430"/>
      <c r="K430" t="inlineStr">
        <is>
          <t xml:space="preserve">Бангладеш</t>
        </is>
      </c>
      <c r="L430" t="inlineStr">
        <is>
          <t xml:space="preserve">6110209100</t>
        </is>
      </c>
      <c r="M430" t="inlineStr">
        <is>
          <t xml:space="preserve">Декларация № ЕАЭС № BY/112 11.01. ТР017 122.01 08246, до 19.04.2028</t>
        </is>
      </c>
      <c r="N430" t="inlineStr">
        <is>
          <t xml:space="preserve">28 × 12 × 11</t>
        </is>
      </c>
      <c r="O430" t="inlineStr">
        <is>
          <t xml:space="preserve">0,51</t>
        </is>
      </c>
      <c r="P430" t="inlineStr">
        <is>
          <t xml:space="preserve">4816148186072</t>
        </is>
      </c>
      <c r="Q430" s="3" t="str">
        <f>HYPERLINK("https://modify.by/img/1559702840/1.webp","фото")</f>
        <v>фото</v>
      </c>
      <c r="R430" s="3" t="str">
        <f>HYPERLINK("https://modify.by/catalog/svitery/1559702840/?utm_source=price&amp;utm_medium=xlsx","открыть")</f>
        <v>открыть</v>
      </c>
    </row>
    <row r="431">
      <c r="A431" t="inlineStr">
        <is>
          <t xml:space="preserve">Мужской</t>
        </is>
      </c>
      <c r="B431" t="inlineStr">
        <is>
          <t xml:space="preserve">Свитеры</t>
        </is>
      </c>
      <c r="C431" t="inlineStr">
        <is>
          <t xml:space="preserve">Джемпер классический хлопковый с V-образным вырезом, желтый</t>
        </is>
      </c>
      <c r="D431" t="inlineStr">
        <is>
          <t xml:space="preserve">SW62M05Желтый</t>
        </is>
      </c>
      <c r="E431" t="inlineStr">
        <is>
          <t xml:space="preserve">желтый</t>
        </is>
      </c>
      <c r="F431" t="inlineStr">
        <is>
          <t xml:space="preserve">54-56</t>
        </is>
      </c>
      <c r="G431">
        <v>1</v>
      </c>
      <c r="H431" s="2">
        <v>33.0</v>
      </c>
      <c r="I431" t="inlineStr">
        <is>
          <t xml:space="preserve">100% Хлопок</t>
        </is>
      </c>
      <c r="J431"/>
      <c r="K431" t="inlineStr">
        <is>
          <t xml:space="preserve">Бангладеш</t>
        </is>
      </c>
      <c r="L431" t="inlineStr">
        <is>
          <t xml:space="preserve">6110209100</t>
        </is>
      </c>
      <c r="M431" t="inlineStr">
        <is>
          <t xml:space="preserve">Декларация № ЕАЭС № BY/112 11.01. ТР017 122.01 08246, до 19.04.2028</t>
        </is>
      </c>
      <c r="N431" t="inlineStr">
        <is>
          <t xml:space="preserve">28 × 12 × 11</t>
        </is>
      </c>
      <c r="O431" t="inlineStr">
        <is>
          <t xml:space="preserve">0,51</t>
        </is>
      </c>
      <c r="P431" t="inlineStr">
        <is>
          <t xml:space="preserve">4816148186096</t>
        </is>
      </c>
      <c r="Q431" s="3" t="str">
        <f>HYPERLINK("https://modify.by/img/1559702840/1.webp","фото")</f>
        <v>фото</v>
      </c>
      <c r="R431" s="3" t="str">
        <f>HYPERLINK("https://modify.by/catalog/svitery/1559702840/?utm_source=price&amp;utm_medium=xlsx","открыть")</f>
        <v>открыть</v>
      </c>
    </row>
    <row r="432">
      <c r="A432" t="inlineStr">
        <is>
          <t xml:space="preserve">Мужской</t>
        </is>
      </c>
      <c r="B432" t="inlineStr">
        <is>
          <t xml:space="preserve">Свитеры</t>
        </is>
      </c>
      <c r="C432" t="inlineStr">
        <is>
          <t xml:space="preserve">Джемпер классический хлопковый с V-образным вырезом, желтый</t>
        </is>
      </c>
      <c r="D432" t="inlineStr">
        <is>
          <t xml:space="preserve">SW62M05Желтый</t>
        </is>
      </c>
      <c r="E432" t="inlineStr">
        <is>
          <t xml:space="preserve">желтый</t>
        </is>
      </c>
      <c r="F432" t="inlineStr">
        <is>
          <t xml:space="preserve">56-58</t>
        </is>
      </c>
      <c r="G432">
        <v>5</v>
      </c>
      <c r="H432" s="2">
        <v>33.0</v>
      </c>
      <c r="I432" t="inlineStr">
        <is>
          <t xml:space="preserve">100% Хлопок</t>
        </is>
      </c>
      <c r="J432"/>
      <c r="K432" t="inlineStr">
        <is>
          <t xml:space="preserve">Бангладеш</t>
        </is>
      </c>
      <c r="L432" t="inlineStr">
        <is>
          <t xml:space="preserve">6110209100</t>
        </is>
      </c>
      <c r="M432" t="inlineStr">
        <is>
          <t xml:space="preserve">Декларация № ЕАЭС № BY/112 11.01. ТР017 122.01 08246, до 19.04.2028</t>
        </is>
      </c>
      <c r="N432" t="inlineStr">
        <is>
          <t xml:space="preserve">28 × 12 × 11</t>
        </is>
      </c>
      <c r="O432" t="inlineStr">
        <is>
          <t xml:space="preserve">0,51</t>
        </is>
      </c>
      <c r="P432" t="inlineStr">
        <is>
          <t xml:space="preserve">4816148186102</t>
        </is>
      </c>
      <c r="Q432" s="3" t="str">
        <f>HYPERLINK("https://modify.by/img/1559702840/1.webp","фото")</f>
        <v>фото</v>
      </c>
      <c r="R432" s="3" t="str">
        <f>HYPERLINK("https://modify.by/catalog/svitery/1559702840/?utm_source=price&amp;utm_medium=xlsx","открыть")</f>
        <v>открыть</v>
      </c>
    </row>
    <row r="433">
      <c r="A433" t="inlineStr">
        <is>
          <t xml:space="preserve">Мужской</t>
        </is>
      </c>
      <c r="B433" t="inlineStr">
        <is>
          <t xml:space="preserve">Свитеры</t>
        </is>
      </c>
      <c r="C433" t="inlineStr">
        <is>
          <t xml:space="preserve">Джемпер классический хлопковый с V-образным вырезом, коричневый</t>
        </is>
      </c>
      <c r="D433" t="inlineStr">
        <is>
          <t xml:space="preserve">SW62M05Коричневый</t>
        </is>
      </c>
      <c r="E433" t="inlineStr">
        <is>
          <t xml:space="preserve">коричневый</t>
        </is>
      </c>
      <c r="F433" t="inlineStr">
        <is>
          <t xml:space="preserve">46-48</t>
        </is>
      </c>
      <c r="G433">
        <v>1</v>
      </c>
      <c r="H433" s="2">
        <v>33.0</v>
      </c>
      <c r="I433" t="inlineStr">
        <is>
          <t xml:space="preserve">100% Хлопок</t>
        </is>
      </c>
      <c r="J433"/>
      <c r="K433" t="inlineStr">
        <is>
          <t xml:space="preserve">Бангладеш</t>
        </is>
      </c>
      <c r="L433" t="inlineStr">
        <is>
          <t xml:space="preserve">6110209100</t>
        </is>
      </c>
      <c r="M433" t="inlineStr">
        <is>
          <t xml:space="preserve">Декларация № ЕАЭС № BY/112 11.01. ТР017 122.01 08246, до 19.04.2028</t>
        </is>
      </c>
      <c r="N433" t="inlineStr">
        <is>
          <t xml:space="preserve">28 × 12 × 11</t>
        </is>
      </c>
      <c r="O433" t="inlineStr">
        <is>
          <t xml:space="preserve">0,51</t>
        </is>
      </c>
      <c r="P433" t="inlineStr">
        <is>
          <t xml:space="preserve">4816148185815</t>
        </is>
      </c>
      <c r="Q433" s="3" t="str">
        <f>HYPERLINK("https://modify.by/img/1543971530/1.webp","фото")</f>
        <v>фото</v>
      </c>
      <c r="R433" s="3" t="str">
        <f>HYPERLINK("https://modify.by/catalog/svitery/1543971530/?utm_source=price&amp;utm_medium=xlsx","открыть")</f>
        <v>открыть</v>
      </c>
    </row>
    <row r="434">
      <c r="A434" t="inlineStr">
        <is>
          <t xml:space="preserve">Мужской</t>
        </is>
      </c>
      <c r="B434" t="inlineStr">
        <is>
          <t xml:space="preserve">Свитеры</t>
        </is>
      </c>
      <c r="C434" t="inlineStr">
        <is>
          <t xml:space="preserve">Джемпер классический хлопковый с V-образным вырезом, коричневый</t>
        </is>
      </c>
      <c r="D434" t="inlineStr">
        <is>
          <t xml:space="preserve">SW62M05Коричневый</t>
        </is>
      </c>
      <c r="E434" t="inlineStr">
        <is>
          <t xml:space="preserve">коричневый</t>
        </is>
      </c>
      <c r="F434" t="inlineStr">
        <is>
          <t xml:space="preserve">48-50</t>
        </is>
      </c>
      <c r="G434">
        <v>1</v>
      </c>
      <c r="H434" s="2">
        <v>33.0</v>
      </c>
      <c r="I434" t="inlineStr">
        <is>
          <t xml:space="preserve">100% Хлопок</t>
        </is>
      </c>
      <c r="J434"/>
      <c r="K434" t="inlineStr">
        <is>
          <t xml:space="preserve">Бангладеш</t>
        </is>
      </c>
      <c r="L434" t="inlineStr">
        <is>
          <t xml:space="preserve">6110209100</t>
        </is>
      </c>
      <c r="M434" t="inlineStr">
        <is>
          <t xml:space="preserve">Декларация № ЕАЭС № BY/112 11.01. ТР017 122.01 08246, до 19.04.2028</t>
        </is>
      </c>
      <c r="N434" t="inlineStr">
        <is>
          <t xml:space="preserve">28 × 12 × 11</t>
        </is>
      </c>
      <c r="O434" t="inlineStr">
        <is>
          <t xml:space="preserve">0,51</t>
        </is>
      </c>
      <c r="P434" t="inlineStr">
        <is>
          <t xml:space="preserve">4816148185822</t>
        </is>
      </c>
      <c r="Q434" s="3" t="str">
        <f>HYPERLINK("https://modify.by/img/1543971530/1.webp","фото")</f>
        <v>фото</v>
      </c>
      <c r="R434" s="3" t="str">
        <f>HYPERLINK("https://modify.by/catalog/svitery/1543971530/?utm_source=price&amp;utm_medium=xlsx","открыть")</f>
        <v>открыть</v>
      </c>
    </row>
    <row r="435">
      <c r="A435" t="inlineStr">
        <is>
          <t xml:space="preserve">Мужской</t>
        </is>
      </c>
      <c r="B435" t="inlineStr">
        <is>
          <t xml:space="preserve">Свитеры</t>
        </is>
      </c>
      <c r="C435" t="inlineStr">
        <is>
          <t xml:space="preserve">Джемпер классический хлопковый с V-образным вырезом, коричневый</t>
        </is>
      </c>
      <c r="D435" t="inlineStr">
        <is>
          <t xml:space="preserve">SW62M05Коричневый</t>
        </is>
      </c>
      <c r="E435" t="inlineStr">
        <is>
          <t xml:space="preserve">коричневый</t>
        </is>
      </c>
      <c r="F435" t="inlineStr">
        <is>
          <t xml:space="preserve">50-52</t>
        </is>
      </c>
      <c r="G435">
        <v>10</v>
      </c>
      <c r="H435" s="2">
        <v>33.0</v>
      </c>
      <c r="I435" t="inlineStr">
        <is>
          <t xml:space="preserve">100% Хлопок</t>
        </is>
      </c>
      <c r="J435"/>
      <c r="K435" t="inlineStr">
        <is>
          <t xml:space="preserve">Бангладеш</t>
        </is>
      </c>
      <c r="L435" t="inlineStr">
        <is>
          <t xml:space="preserve">6110209100</t>
        </is>
      </c>
      <c r="M435" t="inlineStr">
        <is>
          <t xml:space="preserve">Декларация № ЕАЭС № BY/112 11.01. ТР017 122.01 08246, до 19.04.2028</t>
        </is>
      </c>
      <c r="N435" t="inlineStr">
        <is>
          <t xml:space="preserve">28 × 12 × 11</t>
        </is>
      </c>
      <c r="O435" t="inlineStr">
        <is>
          <t xml:space="preserve">0,51</t>
        </is>
      </c>
      <c r="P435" t="inlineStr">
        <is>
          <t xml:space="preserve">4816148185839</t>
        </is>
      </c>
      <c r="Q435" s="3" t="str">
        <f>HYPERLINK("https://modify.by/img/1543971530/1.webp","фото")</f>
        <v>фото</v>
      </c>
      <c r="R435" s="3" t="str">
        <f>HYPERLINK("https://modify.by/catalog/svitery/1543971530/?utm_source=price&amp;utm_medium=xlsx","открыть")</f>
        <v>открыть</v>
      </c>
    </row>
    <row r="436">
      <c r="A436" t="inlineStr">
        <is>
          <t xml:space="preserve">Мужской</t>
        </is>
      </c>
      <c r="B436" t="inlineStr">
        <is>
          <t xml:space="preserve">Свитеры</t>
        </is>
      </c>
      <c r="C436" t="inlineStr">
        <is>
          <t xml:space="preserve">Джемпер классический хлопковый с V-образным вырезом, коричневый</t>
        </is>
      </c>
      <c r="D436" t="inlineStr">
        <is>
          <t xml:space="preserve">SW62M05Коричневый</t>
        </is>
      </c>
      <c r="E436" t="inlineStr">
        <is>
          <t xml:space="preserve">коричневый</t>
        </is>
      </c>
      <c r="F436" t="inlineStr">
        <is>
          <t xml:space="preserve">52-54</t>
        </is>
      </c>
      <c r="G436">
        <v>2</v>
      </c>
      <c r="H436" s="2">
        <v>33.0</v>
      </c>
      <c r="I436" t="inlineStr">
        <is>
          <t xml:space="preserve">100% Хлопок</t>
        </is>
      </c>
      <c r="J436"/>
      <c r="K436" t="inlineStr">
        <is>
          <t xml:space="preserve">Бангладеш</t>
        </is>
      </c>
      <c r="L436" t="inlineStr">
        <is>
          <t xml:space="preserve">6110209100</t>
        </is>
      </c>
      <c r="M436" t="inlineStr">
        <is>
          <t xml:space="preserve">Декларация № ЕАЭС № BY/112 11.01. ТР017 122.01 08246, до 19.04.2028</t>
        </is>
      </c>
      <c r="N436" t="inlineStr">
        <is>
          <t xml:space="preserve">28 × 12 × 11</t>
        </is>
      </c>
      <c r="O436" t="inlineStr">
        <is>
          <t xml:space="preserve">0,51</t>
        </is>
      </c>
      <c r="P436" t="inlineStr">
        <is>
          <t xml:space="preserve">4816148185846</t>
        </is>
      </c>
      <c r="Q436" s="3" t="str">
        <f>HYPERLINK("https://modify.by/img/1543971530/1.webp","фото")</f>
        <v>фото</v>
      </c>
      <c r="R436" s="3" t="str">
        <f>HYPERLINK("https://modify.by/catalog/svitery/1543971530/?utm_source=price&amp;utm_medium=xlsx","открыть")</f>
        <v>открыть</v>
      </c>
    </row>
    <row r="437">
      <c r="A437" t="inlineStr">
        <is>
          <t xml:space="preserve">Мужской</t>
        </is>
      </c>
      <c r="B437" t="inlineStr">
        <is>
          <t xml:space="preserve">Свитеры</t>
        </is>
      </c>
      <c r="C437" t="inlineStr">
        <is>
          <t xml:space="preserve">Джемпер классический хлопковый с V-образным вырезом, коричневый</t>
        </is>
      </c>
      <c r="D437" t="inlineStr">
        <is>
          <t xml:space="preserve">SW62M05Коричневый</t>
        </is>
      </c>
      <c r="E437" t="inlineStr">
        <is>
          <t xml:space="preserve">коричневый</t>
        </is>
      </c>
      <c r="F437" t="inlineStr">
        <is>
          <t xml:space="preserve">54-56</t>
        </is>
      </c>
      <c r="G437">
        <v>10</v>
      </c>
      <c r="H437" s="2">
        <v>33.0</v>
      </c>
      <c r="I437" t="inlineStr">
        <is>
          <t xml:space="preserve">100% Хлопок</t>
        </is>
      </c>
      <c r="J437"/>
      <c r="K437" t="inlineStr">
        <is>
          <t xml:space="preserve">Бангладеш</t>
        </is>
      </c>
      <c r="L437" t="inlineStr">
        <is>
          <t xml:space="preserve">6110209100</t>
        </is>
      </c>
      <c r="M437" t="inlineStr">
        <is>
          <t xml:space="preserve">Декларация № ЕАЭС № BY/112 11.01. ТР017 122.01 08246, до 19.04.2028</t>
        </is>
      </c>
      <c r="N437" t="inlineStr">
        <is>
          <t xml:space="preserve">28 × 12 × 11</t>
        </is>
      </c>
      <c r="O437" t="inlineStr">
        <is>
          <t xml:space="preserve">0,51</t>
        </is>
      </c>
      <c r="P437" t="inlineStr">
        <is>
          <t xml:space="preserve">4816148185853</t>
        </is>
      </c>
      <c r="Q437" s="3" t="str">
        <f>HYPERLINK("https://modify.by/img/1543971530/1.webp","фото")</f>
        <v>фото</v>
      </c>
      <c r="R437" s="3" t="str">
        <f>HYPERLINK("https://modify.by/catalog/svitery/1543971530/?utm_source=price&amp;utm_medium=xlsx","открыть")</f>
        <v>открыть</v>
      </c>
    </row>
    <row r="438">
      <c r="A438" t="inlineStr">
        <is>
          <t xml:space="preserve">Мужской</t>
        </is>
      </c>
      <c r="B438" t="inlineStr">
        <is>
          <t xml:space="preserve">Свитеры</t>
        </is>
      </c>
      <c r="C438" t="inlineStr">
        <is>
          <t xml:space="preserve">Джемпер классический хлопковый с V-образным вырезом, коричневый</t>
        </is>
      </c>
      <c r="D438" t="inlineStr">
        <is>
          <t xml:space="preserve">SW62M05Коричневый</t>
        </is>
      </c>
      <c r="E438" t="inlineStr">
        <is>
          <t xml:space="preserve">коричневый</t>
        </is>
      </c>
      <c r="F438" t="inlineStr">
        <is>
          <t xml:space="preserve">56-58</t>
        </is>
      </c>
      <c r="G438">
        <v>1</v>
      </c>
      <c r="H438" s="2">
        <v>33.0</v>
      </c>
      <c r="I438" t="inlineStr">
        <is>
          <t xml:space="preserve">100% Хлопок</t>
        </is>
      </c>
      <c r="J438"/>
      <c r="K438" t="inlineStr">
        <is>
          <t xml:space="preserve">Бангладеш</t>
        </is>
      </c>
      <c r="L438" t="inlineStr">
        <is>
          <t xml:space="preserve">6110209100</t>
        </is>
      </c>
      <c r="M438" t="inlineStr">
        <is>
          <t xml:space="preserve">Декларация № ЕАЭС № BY/112 11.01. ТР017 122.01 08246, до 19.04.2028</t>
        </is>
      </c>
      <c r="N438" t="inlineStr">
        <is>
          <t xml:space="preserve">28 × 12 × 11</t>
        </is>
      </c>
      <c r="O438" t="inlineStr">
        <is>
          <t xml:space="preserve">0,51</t>
        </is>
      </c>
      <c r="P438" t="inlineStr">
        <is>
          <t xml:space="preserve">4816148185860</t>
        </is>
      </c>
      <c r="Q438" s="3" t="str">
        <f>HYPERLINK("https://modify.by/img/1543971530/1.webp","фото")</f>
        <v>фото</v>
      </c>
      <c r="R438" s="3" t="str">
        <f>HYPERLINK("https://modify.by/catalog/svitery/1543971530/?utm_source=price&amp;utm_medium=xlsx","открыть")</f>
        <v>открыть</v>
      </c>
    </row>
    <row r="439">
      <c r="A439" t="inlineStr">
        <is>
          <t xml:space="preserve">Мужской</t>
        </is>
      </c>
      <c r="B439" t="inlineStr">
        <is>
          <t xml:space="preserve">Свитеры</t>
        </is>
      </c>
      <c r="C439" t="inlineStr">
        <is>
          <t xml:space="preserve">Джемпер классический хлопковый с V-образным вырезом, морская волна</t>
        </is>
      </c>
      <c r="D439" t="inlineStr">
        <is>
          <t xml:space="preserve">SW62M05Морскаяволна</t>
        </is>
      </c>
      <c r="E439" t="inlineStr">
        <is>
          <t xml:space="preserve">морская волна</t>
        </is>
      </c>
      <c r="F439" t="inlineStr">
        <is>
          <t xml:space="preserve">48-50</t>
        </is>
      </c>
      <c r="G439">
        <v>4</v>
      </c>
      <c r="H439" s="2">
        <v>33.0</v>
      </c>
      <c r="I439" t="inlineStr">
        <is>
          <t xml:space="preserve">100% Хлопок</t>
        </is>
      </c>
      <c r="J439"/>
      <c r="K439" t="inlineStr">
        <is>
          <t xml:space="preserve">Бангладеш</t>
        </is>
      </c>
      <c r="L439" t="inlineStr">
        <is>
          <t xml:space="preserve">6110209100</t>
        </is>
      </c>
      <c r="M439" t="inlineStr">
        <is>
          <t xml:space="preserve">Декларация № ЕАЭС № BY/112 11.01. ТР017 122.01 08246, до 19.04.2028</t>
        </is>
      </c>
      <c r="N439" t="inlineStr">
        <is>
          <t xml:space="preserve">28 × 12 × 11</t>
        </is>
      </c>
      <c r="O439" t="inlineStr">
        <is>
          <t xml:space="preserve">0,51</t>
        </is>
      </c>
      <c r="P439" t="inlineStr">
        <is>
          <t xml:space="preserve">4816148185945</t>
        </is>
      </c>
      <c r="Q439" s="3" t="str">
        <f>HYPERLINK("https://modify.by/img/1559702838/1.webp","фото")</f>
        <v>фото</v>
      </c>
      <c r="R439" s="3" t="str">
        <f>HYPERLINK("https://modify.by/catalog/svitery/1559702838/?utm_source=price&amp;utm_medium=xlsx","открыть")</f>
        <v>открыть</v>
      </c>
    </row>
    <row r="440">
      <c r="A440" t="inlineStr">
        <is>
          <t xml:space="preserve">Мужской</t>
        </is>
      </c>
      <c r="B440" t="inlineStr">
        <is>
          <t xml:space="preserve">Свитеры</t>
        </is>
      </c>
      <c r="C440" t="inlineStr">
        <is>
          <t xml:space="preserve">Джемпер классический хлопковый с V-образным вырезом, морская волна</t>
        </is>
      </c>
      <c r="D440" t="inlineStr">
        <is>
          <t xml:space="preserve">SW62M05Морскаяволна</t>
        </is>
      </c>
      <c r="E440" t="inlineStr">
        <is>
          <t xml:space="preserve">морская волна</t>
        </is>
      </c>
      <c r="F440" t="inlineStr">
        <is>
          <t xml:space="preserve">50-52</t>
        </is>
      </c>
      <c r="G440">
        <v>40</v>
      </c>
      <c r="H440" s="2">
        <v>33.0</v>
      </c>
      <c r="I440" t="inlineStr">
        <is>
          <t xml:space="preserve">100% Хлопок</t>
        </is>
      </c>
      <c r="J440"/>
      <c r="K440" t="inlineStr">
        <is>
          <t xml:space="preserve">Бангладеш</t>
        </is>
      </c>
      <c r="L440" t="inlineStr">
        <is>
          <t xml:space="preserve">6110209100</t>
        </is>
      </c>
      <c r="M440" t="inlineStr">
        <is>
          <t xml:space="preserve">Декларация № ЕАЭС № BY/112 11.01. ТР017 122.01 08246, до 19.04.2028</t>
        </is>
      </c>
      <c r="N440" t="inlineStr">
        <is>
          <t xml:space="preserve">28 × 12 × 11</t>
        </is>
      </c>
      <c r="O440" t="inlineStr">
        <is>
          <t xml:space="preserve">0,51</t>
        </is>
      </c>
      <c r="P440" t="inlineStr">
        <is>
          <t xml:space="preserve">4816148185952</t>
        </is>
      </c>
      <c r="Q440" s="3" t="str">
        <f>HYPERLINK("https://modify.by/img/1559702838/1.webp","фото")</f>
        <v>фото</v>
      </c>
      <c r="R440" s="3" t="str">
        <f>HYPERLINK("https://modify.by/catalog/svitery/1559702838/?utm_source=price&amp;utm_medium=xlsx","открыть")</f>
        <v>открыть</v>
      </c>
    </row>
    <row r="441">
      <c r="A441" t="inlineStr">
        <is>
          <t xml:space="preserve">Мужской</t>
        </is>
      </c>
      <c r="B441" t="inlineStr">
        <is>
          <t xml:space="preserve">Свитеры</t>
        </is>
      </c>
      <c r="C441" t="inlineStr">
        <is>
          <t xml:space="preserve">Джемпер классический хлопковый с V-образным вырезом, морская волна</t>
        </is>
      </c>
      <c r="D441" t="inlineStr">
        <is>
          <t xml:space="preserve">SW62M05Морскаяволна</t>
        </is>
      </c>
      <c r="E441" t="inlineStr">
        <is>
          <t xml:space="preserve">морская волна</t>
        </is>
      </c>
      <c r="F441" t="inlineStr">
        <is>
          <t xml:space="preserve">52-54</t>
        </is>
      </c>
      <c r="G441">
        <v>10</v>
      </c>
      <c r="H441" s="2">
        <v>33.0</v>
      </c>
      <c r="I441" t="inlineStr">
        <is>
          <t xml:space="preserve">100% Хлопок</t>
        </is>
      </c>
      <c r="J441"/>
      <c r="K441" t="inlineStr">
        <is>
          <t xml:space="preserve">Бангладеш</t>
        </is>
      </c>
      <c r="L441" t="inlineStr">
        <is>
          <t xml:space="preserve">6110209100</t>
        </is>
      </c>
      <c r="M441" t="inlineStr">
        <is>
          <t xml:space="preserve">Декларация № ЕАЭС № BY/112 11.01. ТР017 122.01 08246, до 19.04.2028</t>
        </is>
      </c>
      <c r="N441" t="inlineStr">
        <is>
          <t xml:space="preserve">28 × 12 × 11</t>
        </is>
      </c>
      <c r="O441" t="inlineStr">
        <is>
          <t xml:space="preserve">0,51</t>
        </is>
      </c>
      <c r="P441" t="inlineStr">
        <is>
          <t xml:space="preserve">4816148185969</t>
        </is>
      </c>
      <c r="Q441" s="3" t="str">
        <f>HYPERLINK("https://modify.by/img/1559702838/1.webp","фото")</f>
        <v>фото</v>
      </c>
      <c r="R441" s="3" t="str">
        <f>HYPERLINK("https://modify.by/catalog/svitery/1559702838/?utm_source=price&amp;utm_medium=xlsx","открыть")</f>
        <v>открыть</v>
      </c>
    </row>
    <row r="442">
      <c r="A442" t="inlineStr">
        <is>
          <t xml:space="preserve">Мужской</t>
        </is>
      </c>
      <c r="B442" t="inlineStr">
        <is>
          <t xml:space="preserve">Свитеры</t>
        </is>
      </c>
      <c r="C442" t="inlineStr">
        <is>
          <t xml:space="preserve">Джемпер классический хлопковый с V-образным вырезом, морская волна</t>
        </is>
      </c>
      <c r="D442" t="inlineStr">
        <is>
          <t xml:space="preserve">SW62M05Морскаяволна</t>
        </is>
      </c>
      <c r="E442" t="inlineStr">
        <is>
          <t xml:space="preserve">морская волна</t>
        </is>
      </c>
      <c r="F442" t="inlineStr">
        <is>
          <t xml:space="preserve">54-56</t>
        </is>
      </c>
      <c r="G442">
        <v>11</v>
      </c>
      <c r="H442" s="2">
        <v>33.0</v>
      </c>
      <c r="I442" t="inlineStr">
        <is>
          <t xml:space="preserve">100% Хлопок</t>
        </is>
      </c>
      <c r="J442"/>
      <c r="K442" t="inlineStr">
        <is>
          <t xml:space="preserve">Бангладеш</t>
        </is>
      </c>
      <c r="L442" t="inlineStr">
        <is>
          <t xml:space="preserve">6110209100</t>
        </is>
      </c>
      <c r="M442" t="inlineStr">
        <is>
          <t xml:space="preserve">Декларация № ЕАЭС № BY/112 11.01. ТР017 122.01 08246, до 19.04.2028</t>
        </is>
      </c>
      <c r="N442" t="inlineStr">
        <is>
          <t xml:space="preserve">28 × 12 × 11</t>
        </is>
      </c>
      <c r="O442" t="inlineStr">
        <is>
          <t xml:space="preserve">0,51</t>
        </is>
      </c>
      <c r="P442" t="inlineStr">
        <is>
          <t xml:space="preserve">4816148185976</t>
        </is>
      </c>
      <c r="Q442" s="3" t="str">
        <f>HYPERLINK("https://modify.by/img/1559702838/1.webp","фото")</f>
        <v>фото</v>
      </c>
      <c r="R442" s="3" t="str">
        <f>HYPERLINK("https://modify.by/catalog/svitery/1559702838/?utm_source=price&amp;utm_medium=xlsx","открыть")</f>
        <v>открыть</v>
      </c>
    </row>
    <row r="443">
      <c r="A443" t="inlineStr">
        <is>
          <t xml:space="preserve">Мужской</t>
        </is>
      </c>
      <c r="B443" t="inlineStr">
        <is>
          <t xml:space="preserve">Свитеры</t>
        </is>
      </c>
      <c r="C443" t="inlineStr">
        <is>
          <t xml:space="preserve">Джемпер классический хлопковый с V-образным вырезом, морская волна</t>
        </is>
      </c>
      <c r="D443" t="inlineStr">
        <is>
          <t xml:space="preserve">SW62M05Морскаяволна</t>
        </is>
      </c>
      <c r="E443" t="inlineStr">
        <is>
          <t xml:space="preserve">морская волна</t>
        </is>
      </c>
      <c r="F443" t="inlineStr">
        <is>
          <t xml:space="preserve">56-58</t>
        </is>
      </c>
      <c r="G443">
        <v>9</v>
      </c>
      <c r="H443" s="2">
        <v>33.0</v>
      </c>
      <c r="I443" t="inlineStr">
        <is>
          <t xml:space="preserve">100% Хлопок</t>
        </is>
      </c>
      <c r="J443"/>
      <c r="K443" t="inlineStr">
        <is>
          <t xml:space="preserve">Бангладеш</t>
        </is>
      </c>
      <c r="L443" t="inlineStr">
        <is>
          <t xml:space="preserve">6110209100</t>
        </is>
      </c>
      <c r="M443" t="inlineStr">
        <is>
          <t xml:space="preserve">Декларация № ЕАЭС № BY/112 11.01. ТР017 122.01 08246, до 19.04.2028</t>
        </is>
      </c>
      <c r="N443" t="inlineStr">
        <is>
          <t xml:space="preserve">28 × 12 × 11</t>
        </is>
      </c>
      <c r="O443" t="inlineStr">
        <is>
          <t xml:space="preserve">0,51</t>
        </is>
      </c>
      <c r="P443" t="inlineStr">
        <is>
          <t xml:space="preserve">4816148185983</t>
        </is>
      </c>
      <c r="Q443" s="3" t="str">
        <f>HYPERLINK("https://modify.by/img/1559702838/1.webp","фото")</f>
        <v>фото</v>
      </c>
      <c r="R443" s="3" t="str">
        <f>HYPERLINK("https://modify.by/catalog/svitery/1559702838/?utm_source=price&amp;utm_medium=xlsx","открыть")</f>
        <v>открыть</v>
      </c>
    </row>
    <row r="444">
      <c r="A444" t="inlineStr">
        <is>
          <t xml:space="preserve">Мужской</t>
        </is>
      </c>
      <c r="B444" t="inlineStr">
        <is>
          <t xml:space="preserve">Свитеры</t>
        </is>
      </c>
      <c r="C444" t="inlineStr">
        <is>
          <t xml:space="preserve">Джемпер классический хлопковый с V-образным вырезом, охра</t>
        </is>
      </c>
      <c r="D444" t="inlineStr">
        <is>
          <t xml:space="preserve">SW62M05Охра</t>
        </is>
      </c>
      <c r="E444" t="inlineStr">
        <is>
          <t xml:space="preserve">охра</t>
        </is>
      </c>
      <c r="F444" t="inlineStr">
        <is>
          <t xml:space="preserve">44-46</t>
        </is>
      </c>
      <c r="G444">
        <v>2</v>
      </c>
      <c r="H444" s="2">
        <v>33.0</v>
      </c>
      <c r="I444" t="inlineStr">
        <is>
          <t xml:space="preserve">100% Хлопок</t>
        </is>
      </c>
      <c r="J444"/>
      <c r="K444" t="inlineStr">
        <is>
          <t xml:space="preserve">Бангладеш</t>
        </is>
      </c>
      <c r="L444" t="inlineStr">
        <is>
          <t xml:space="preserve">6110209100</t>
        </is>
      </c>
      <c r="M444" t="inlineStr">
        <is>
          <t xml:space="preserve">Декларация № ЕАЭС № BY/112 11.01. ТР017 122.01 08246, до 19.04.2028</t>
        </is>
      </c>
      <c r="N444" t="inlineStr">
        <is>
          <t xml:space="preserve">28 × 12 × 11</t>
        </is>
      </c>
      <c r="O444" t="inlineStr">
        <is>
          <t xml:space="preserve">0,51</t>
        </is>
      </c>
      <c r="P444" t="inlineStr">
        <is>
          <t xml:space="preserve">4816148185730</t>
        </is>
      </c>
      <c r="Q444" s="3" t="str">
        <f>HYPERLINK("https://modify.by/img/1543971529/1.webp","фото")</f>
        <v>фото</v>
      </c>
      <c r="R444" s="3" t="str">
        <f>HYPERLINK("https://modify.by/catalog/svitery/1543971529/?utm_source=price&amp;utm_medium=xlsx","открыть")</f>
        <v>открыть</v>
      </c>
    </row>
    <row r="445">
      <c r="A445" t="inlineStr">
        <is>
          <t xml:space="preserve">Мужской</t>
        </is>
      </c>
      <c r="B445" t="inlineStr">
        <is>
          <t xml:space="preserve">Свитеры</t>
        </is>
      </c>
      <c r="C445" t="inlineStr">
        <is>
          <t xml:space="preserve">Джемпер классический хлопковый с V-образным вырезом, охра</t>
        </is>
      </c>
      <c r="D445" t="inlineStr">
        <is>
          <t xml:space="preserve">SW62M05Охра</t>
        </is>
      </c>
      <c r="E445" t="inlineStr">
        <is>
          <t xml:space="preserve">охра</t>
        </is>
      </c>
      <c r="F445" t="inlineStr">
        <is>
          <t xml:space="preserve">46-48</t>
        </is>
      </c>
      <c r="G445">
        <v>2</v>
      </c>
      <c r="H445" s="2">
        <v>33.0</v>
      </c>
      <c r="I445" t="inlineStr">
        <is>
          <t xml:space="preserve">100% Хлопок</t>
        </is>
      </c>
      <c r="J445"/>
      <c r="K445" t="inlineStr">
        <is>
          <t xml:space="preserve">Бангладеш</t>
        </is>
      </c>
      <c r="L445" t="inlineStr">
        <is>
          <t xml:space="preserve">6110209100</t>
        </is>
      </c>
      <c r="M445" t="inlineStr">
        <is>
          <t xml:space="preserve">Декларация № ЕАЭС № BY/112 11.01. ТР017 122.01 08246, до 19.04.2028</t>
        </is>
      </c>
      <c r="N445" t="inlineStr">
        <is>
          <t xml:space="preserve">28 × 12 × 11</t>
        </is>
      </c>
      <c r="O445" t="inlineStr">
        <is>
          <t xml:space="preserve">0,51</t>
        </is>
      </c>
      <c r="P445" t="inlineStr">
        <is>
          <t xml:space="preserve">4816148185747</t>
        </is>
      </c>
      <c r="Q445" s="3" t="str">
        <f>HYPERLINK("https://modify.by/img/1543971529/1.webp","фото")</f>
        <v>фото</v>
      </c>
      <c r="R445" s="3" t="str">
        <f>HYPERLINK("https://modify.by/catalog/svitery/1543971529/?utm_source=price&amp;utm_medium=xlsx","открыть")</f>
        <v>открыть</v>
      </c>
    </row>
    <row r="446">
      <c r="A446" t="inlineStr">
        <is>
          <t xml:space="preserve">Мужской</t>
        </is>
      </c>
      <c r="B446" t="inlineStr">
        <is>
          <t xml:space="preserve">Свитеры</t>
        </is>
      </c>
      <c r="C446" t="inlineStr">
        <is>
          <t xml:space="preserve">Джемпер классический хлопковый с V-образным вырезом, охра</t>
        </is>
      </c>
      <c r="D446" t="inlineStr">
        <is>
          <t xml:space="preserve">SW62M05Охра</t>
        </is>
      </c>
      <c r="E446" t="inlineStr">
        <is>
          <t xml:space="preserve">охра</t>
        </is>
      </c>
      <c r="F446" t="inlineStr">
        <is>
          <t xml:space="preserve">48-50</t>
        </is>
      </c>
      <c r="G446">
        <v>7</v>
      </c>
      <c r="H446" s="2">
        <v>33.0</v>
      </c>
      <c r="I446" t="inlineStr">
        <is>
          <t xml:space="preserve">100% Хлопок</t>
        </is>
      </c>
      <c r="J446"/>
      <c r="K446" t="inlineStr">
        <is>
          <t xml:space="preserve">Бангладеш</t>
        </is>
      </c>
      <c r="L446" t="inlineStr">
        <is>
          <t xml:space="preserve">6110209100</t>
        </is>
      </c>
      <c r="M446" t="inlineStr">
        <is>
          <t xml:space="preserve">Декларация № ЕАЭС № BY/112 11.01. ТР017 122.01 08246, до 19.04.2028</t>
        </is>
      </c>
      <c r="N446" t="inlineStr">
        <is>
          <t xml:space="preserve">28 × 12 × 11</t>
        </is>
      </c>
      <c r="O446" t="inlineStr">
        <is>
          <t xml:space="preserve">0,51</t>
        </is>
      </c>
      <c r="P446" t="inlineStr">
        <is>
          <t xml:space="preserve">4816148185754</t>
        </is>
      </c>
      <c r="Q446" s="3" t="str">
        <f>HYPERLINK("https://modify.by/img/1543971529/1.webp","фото")</f>
        <v>фото</v>
      </c>
      <c r="R446" s="3" t="str">
        <f>HYPERLINK("https://modify.by/catalog/svitery/1543971529/?utm_source=price&amp;utm_medium=xlsx","открыть")</f>
        <v>открыть</v>
      </c>
    </row>
    <row r="447">
      <c r="A447" t="inlineStr">
        <is>
          <t xml:space="preserve">Мужской</t>
        </is>
      </c>
      <c r="B447" t="inlineStr">
        <is>
          <t xml:space="preserve">Свитеры</t>
        </is>
      </c>
      <c r="C447" t="inlineStr">
        <is>
          <t xml:space="preserve">Джемпер классический хлопковый с V-образным вырезом, охра</t>
        </is>
      </c>
      <c r="D447" t="inlineStr">
        <is>
          <t xml:space="preserve">SW62M05Охра</t>
        </is>
      </c>
      <c r="E447" t="inlineStr">
        <is>
          <t xml:space="preserve">охра</t>
        </is>
      </c>
      <c r="F447" t="inlineStr">
        <is>
          <t xml:space="preserve">50-52</t>
        </is>
      </c>
      <c r="G447">
        <v>14</v>
      </c>
      <c r="H447" s="2">
        <v>33.0</v>
      </c>
      <c r="I447" t="inlineStr">
        <is>
          <t xml:space="preserve">100% Хлопок</t>
        </is>
      </c>
      <c r="J447"/>
      <c r="K447" t="inlineStr">
        <is>
          <t xml:space="preserve">Бангладеш</t>
        </is>
      </c>
      <c r="L447" t="inlineStr">
        <is>
          <t xml:space="preserve">6110209100</t>
        </is>
      </c>
      <c r="M447" t="inlineStr">
        <is>
          <t xml:space="preserve">Декларация № ЕАЭС № BY/112 11.01. ТР017 122.01 08246, до 19.04.2028</t>
        </is>
      </c>
      <c r="N447" t="inlineStr">
        <is>
          <t xml:space="preserve">28 × 12 × 11</t>
        </is>
      </c>
      <c r="O447" t="inlineStr">
        <is>
          <t xml:space="preserve">0,51</t>
        </is>
      </c>
      <c r="P447" t="inlineStr">
        <is>
          <t xml:space="preserve">4816148185761</t>
        </is>
      </c>
      <c r="Q447" s="3" t="str">
        <f>HYPERLINK("https://modify.by/img/1543971529/1.webp","фото")</f>
        <v>фото</v>
      </c>
      <c r="R447" s="3" t="str">
        <f>HYPERLINK("https://modify.by/catalog/svitery/1543971529/?utm_source=price&amp;utm_medium=xlsx","открыть")</f>
        <v>открыть</v>
      </c>
    </row>
    <row r="448">
      <c r="A448" t="inlineStr">
        <is>
          <t xml:space="preserve">Мужской</t>
        </is>
      </c>
      <c r="B448" t="inlineStr">
        <is>
          <t xml:space="preserve">Свитеры</t>
        </is>
      </c>
      <c r="C448" t="inlineStr">
        <is>
          <t xml:space="preserve">Джемпер классический хлопковый с V-образным вырезом, охра</t>
        </is>
      </c>
      <c r="D448" t="inlineStr">
        <is>
          <t xml:space="preserve">SW62M05Охра</t>
        </is>
      </c>
      <c r="E448" t="inlineStr">
        <is>
          <t xml:space="preserve">охра</t>
        </is>
      </c>
      <c r="F448" t="inlineStr">
        <is>
          <t xml:space="preserve">52-54</t>
        </is>
      </c>
      <c r="G448">
        <v>2</v>
      </c>
      <c r="H448" s="2">
        <v>33.0</v>
      </c>
      <c r="I448" t="inlineStr">
        <is>
          <t xml:space="preserve">100% Хлопок</t>
        </is>
      </c>
      <c r="J448"/>
      <c r="K448" t="inlineStr">
        <is>
          <t xml:space="preserve">Бангладеш</t>
        </is>
      </c>
      <c r="L448" t="inlineStr">
        <is>
          <t xml:space="preserve">6110209100</t>
        </is>
      </c>
      <c r="M448" t="inlineStr">
        <is>
          <t xml:space="preserve">Декларация № ЕАЭС № BY/112 11.01. ТР017 122.01 08246, до 19.04.2028</t>
        </is>
      </c>
      <c r="N448" t="inlineStr">
        <is>
          <t xml:space="preserve">28 × 12 × 11</t>
        </is>
      </c>
      <c r="O448" t="inlineStr">
        <is>
          <t xml:space="preserve">0,51</t>
        </is>
      </c>
      <c r="P448" t="inlineStr">
        <is>
          <t xml:space="preserve">4816148185778</t>
        </is>
      </c>
      <c r="Q448" s="3" t="str">
        <f>HYPERLINK("https://modify.by/img/1543971529/1.webp","фото")</f>
        <v>фото</v>
      </c>
      <c r="R448" s="3" t="str">
        <f>HYPERLINK("https://modify.by/catalog/svitery/1543971529/?utm_source=price&amp;utm_medium=xlsx","открыть")</f>
        <v>открыть</v>
      </c>
    </row>
    <row r="449">
      <c r="A449" t="inlineStr">
        <is>
          <t xml:space="preserve">Мужской</t>
        </is>
      </c>
      <c r="B449" t="inlineStr">
        <is>
          <t xml:space="preserve">Свитеры</t>
        </is>
      </c>
      <c r="C449" t="inlineStr">
        <is>
          <t xml:space="preserve">Джемпер классический хлопковый с V-образным вырезом, охра</t>
        </is>
      </c>
      <c r="D449" t="inlineStr">
        <is>
          <t xml:space="preserve">SW62M05Охра</t>
        </is>
      </c>
      <c r="E449" t="inlineStr">
        <is>
          <t xml:space="preserve">охра</t>
        </is>
      </c>
      <c r="F449" t="inlineStr">
        <is>
          <t xml:space="preserve">54-56</t>
        </is>
      </c>
      <c r="G449">
        <v>1</v>
      </c>
      <c r="H449" s="2">
        <v>33.0</v>
      </c>
      <c r="I449" t="inlineStr">
        <is>
          <t xml:space="preserve">100% Хлопок</t>
        </is>
      </c>
      <c r="J449"/>
      <c r="K449" t="inlineStr">
        <is>
          <t xml:space="preserve">Бангладеш</t>
        </is>
      </c>
      <c r="L449" t="inlineStr">
        <is>
          <t xml:space="preserve">6110209100</t>
        </is>
      </c>
      <c r="M449" t="inlineStr">
        <is>
          <t xml:space="preserve">Декларация № ЕАЭС № BY/112 11.01. ТР017 122.01 08246, до 19.04.2028</t>
        </is>
      </c>
      <c r="N449" t="inlineStr">
        <is>
          <t xml:space="preserve">28 × 12 × 11</t>
        </is>
      </c>
      <c r="O449" t="inlineStr">
        <is>
          <t xml:space="preserve">0,51</t>
        </is>
      </c>
      <c r="P449" t="inlineStr">
        <is>
          <t xml:space="preserve">4816148185785</t>
        </is>
      </c>
      <c r="Q449" s="3" t="str">
        <f>HYPERLINK("https://modify.by/img/1543971529/1.webp","фото")</f>
        <v>фото</v>
      </c>
      <c r="R449" s="3" t="str">
        <f>HYPERLINK("https://modify.by/catalog/svitery/1543971529/?utm_source=price&amp;utm_medium=xlsx","открыть")</f>
        <v>открыть</v>
      </c>
    </row>
    <row r="450">
      <c r="A450" t="inlineStr">
        <is>
          <t xml:space="preserve">Мужской</t>
        </is>
      </c>
      <c r="B450" t="inlineStr">
        <is>
          <t xml:space="preserve">Свитеры</t>
        </is>
      </c>
      <c r="C450" t="inlineStr">
        <is>
          <t xml:space="preserve">Джемпер классический хлопковый с V-образным вырезом, охра</t>
        </is>
      </c>
      <c r="D450" t="inlineStr">
        <is>
          <t xml:space="preserve">SW62M05Охра</t>
        </is>
      </c>
      <c r="E450" t="inlineStr">
        <is>
          <t xml:space="preserve">охра</t>
        </is>
      </c>
      <c r="F450" t="inlineStr">
        <is>
          <t xml:space="preserve">56-58</t>
        </is>
      </c>
      <c r="G450">
        <v>1</v>
      </c>
      <c r="H450" s="2">
        <v>33.0</v>
      </c>
      <c r="I450" t="inlineStr">
        <is>
          <t xml:space="preserve">100% Хлопок</t>
        </is>
      </c>
      <c r="J450"/>
      <c r="K450" t="inlineStr">
        <is>
          <t xml:space="preserve">Бангладеш</t>
        </is>
      </c>
      <c r="L450" t="inlineStr">
        <is>
          <t xml:space="preserve">6110209100</t>
        </is>
      </c>
      <c r="M450" t="inlineStr">
        <is>
          <t xml:space="preserve">Декларация № ЕАЭС № BY/112 11.01. ТР017 122.01 08246, до 19.04.2028</t>
        </is>
      </c>
      <c r="N450" t="inlineStr">
        <is>
          <t xml:space="preserve">28 × 12 × 11</t>
        </is>
      </c>
      <c r="O450" t="inlineStr">
        <is>
          <t xml:space="preserve">0,51</t>
        </is>
      </c>
      <c r="P450" t="inlineStr">
        <is>
          <t xml:space="preserve">4816148185792</t>
        </is>
      </c>
      <c r="Q450" s="3" t="str">
        <f>HYPERLINK("https://modify.by/img/1543971529/1.webp","фото")</f>
        <v>фото</v>
      </c>
      <c r="R450" s="3" t="str">
        <f>HYPERLINK("https://modify.by/catalog/svitery/1543971529/?utm_source=price&amp;utm_medium=xlsx","открыть")</f>
        <v>открыть</v>
      </c>
    </row>
    <row r="451">
      <c r="A451" t="inlineStr">
        <is>
          <t xml:space="preserve">Мужской</t>
        </is>
      </c>
      <c r="B451" t="inlineStr">
        <is>
          <t xml:space="preserve">Свитеры</t>
        </is>
      </c>
      <c r="C451" t="inlineStr">
        <is>
          <t xml:space="preserve">Джемпер свитер базовый хлопковый</t>
        </is>
      </c>
      <c r="D451" t="inlineStr">
        <is>
          <t xml:space="preserve">SW42M07темно-розовый</t>
        </is>
      </c>
      <c r="E451" t="inlineStr">
        <is>
          <t xml:space="preserve">коралловый</t>
        </is>
      </c>
      <c r="F451" t="inlineStr">
        <is>
          <t xml:space="preserve">46</t>
        </is>
      </c>
      <c r="G451">
        <v>15</v>
      </c>
      <c r="H451" s="2">
        <v>27.0</v>
      </c>
      <c r="I451" t="inlineStr">
        <is>
          <t xml:space="preserve">100% хлопок</t>
        </is>
      </c>
      <c r="J451"/>
      <c r="K451" t="inlineStr">
        <is>
          <t xml:space="preserve">Бангладеш</t>
        </is>
      </c>
      <c r="L451" t="inlineStr">
        <is>
          <t xml:space="preserve">6110209100</t>
        </is>
      </c>
      <c r="M451" t="inlineStr">
        <is>
          <t xml:space="preserve">Декларация № ЕАЭС № BY/112 11.01. ТР017 122.01 08246, до 19.04.2028</t>
        </is>
      </c>
      <c r="N451" t="inlineStr">
        <is>
          <t xml:space="preserve">36 × 27 × 2</t>
        </is>
      </c>
      <c r="O451" t="inlineStr">
        <is>
          <t xml:space="preserve">0,33</t>
        </is>
      </c>
      <c r="P451" t="inlineStr">
        <is>
          <t xml:space="preserve">4816148147912</t>
        </is>
      </c>
      <c r="Q451" s="3" t="str">
        <f>HYPERLINK("https://modify.by/img/258242622/1.webp","фото")</f>
        <v>фото</v>
      </c>
      <c r="R451" s="3" t="str">
        <f>HYPERLINK("https://modify.by/catalog/svitery/258242622/?utm_source=price&amp;utm_medium=xlsx","открыть")</f>
        <v>открыть</v>
      </c>
    </row>
    <row r="452">
      <c r="A452" t="inlineStr">
        <is>
          <t xml:space="preserve">Мужской</t>
        </is>
      </c>
      <c r="B452" t="inlineStr">
        <is>
          <t xml:space="preserve">Свитеры</t>
        </is>
      </c>
      <c r="C452" t="inlineStr">
        <is>
          <t xml:space="preserve">Джемпер свитер базовый хлопковый</t>
        </is>
      </c>
      <c r="D452" t="inlineStr">
        <is>
          <t xml:space="preserve">SW42M07темно-розовый</t>
        </is>
      </c>
      <c r="E452" t="inlineStr">
        <is>
          <t xml:space="preserve">коралловый</t>
        </is>
      </c>
      <c r="F452" t="inlineStr">
        <is>
          <t xml:space="preserve">48</t>
        </is>
      </c>
      <c r="G452">
        <v>18</v>
      </c>
      <c r="H452" s="2">
        <v>27.0</v>
      </c>
      <c r="I452" t="inlineStr">
        <is>
          <t xml:space="preserve">100% хлопок</t>
        </is>
      </c>
      <c r="J452"/>
      <c r="K452" t="inlineStr">
        <is>
          <t xml:space="preserve">Бангладеш</t>
        </is>
      </c>
      <c r="L452" t="inlineStr">
        <is>
          <t xml:space="preserve">6110209100</t>
        </is>
      </c>
      <c r="M452" t="inlineStr">
        <is>
          <t xml:space="preserve">Декларация № ЕАЭС № BY/112 11.01. ТР017 122.01 08246, до 19.04.2028</t>
        </is>
      </c>
      <c r="N452" t="inlineStr">
        <is>
          <t xml:space="preserve">36 × 27 × 2</t>
        </is>
      </c>
      <c r="O452" t="inlineStr">
        <is>
          <t xml:space="preserve">0,33</t>
        </is>
      </c>
      <c r="P452" t="inlineStr">
        <is>
          <t xml:space="preserve">4816148147929</t>
        </is>
      </c>
      <c r="Q452" s="3" t="str">
        <f>HYPERLINK("https://modify.by/img/258242622/1.webp","фото")</f>
        <v>фото</v>
      </c>
      <c r="R452" s="3" t="str">
        <f>HYPERLINK("https://modify.by/catalog/svitery/258242622/?utm_source=price&amp;utm_medium=xlsx","открыть")</f>
        <v>открыть</v>
      </c>
    </row>
    <row r="453">
      <c r="A453" t="inlineStr">
        <is>
          <t xml:space="preserve">Мужской</t>
        </is>
      </c>
      <c r="B453" t="inlineStr">
        <is>
          <t xml:space="preserve">Свитеры</t>
        </is>
      </c>
      <c r="C453" t="inlineStr">
        <is>
          <t xml:space="preserve">Джемпер теплый классический, синий меланж</t>
        </is>
      </c>
      <c r="D453" t="inlineStr">
        <is>
          <t xml:space="preserve">SW52M03синий</t>
        </is>
      </c>
      <c r="E453" t="inlineStr">
        <is>
          <t xml:space="preserve">синий меланж, светло-синий</t>
        </is>
      </c>
      <c r="F453" t="inlineStr">
        <is>
          <t xml:space="preserve">48</t>
        </is>
      </c>
      <c r="G453">
        <v>7</v>
      </c>
      <c r="H453" s="2">
        <v>32.0</v>
      </c>
      <c r="I453" t="inlineStr">
        <is>
          <t xml:space="preserve">шерсть, вискоза, акрил, пэ</t>
        </is>
      </c>
      <c r="J453"/>
      <c r="K453" t="inlineStr">
        <is>
          <t xml:space="preserve">Бангладеш</t>
        </is>
      </c>
      <c r="L453" t="inlineStr">
        <is>
          <t xml:space="preserve">6110209100</t>
        </is>
      </c>
      <c r="M453" t="inlineStr">
        <is>
          <t xml:space="preserve">Декларация № ЕАЭС № BY/112 11.01. ТР017 122.01 08246, до 19.04.2028</t>
        </is>
      </c>
      <c r="N453" t="inlineStr">
        <is>
          <t xml:space="preserve">35 × 30 × 3</t>
        </is>
      </c>
      <c r="O453" t="inlineStr">
        <is>
          <t xml:space="preserve">0,38</t>
        </is>
      </c>
      <c r="P453" t="inlineStr">
        <is>
          <t xml:space="preserve">4816148171139</t>
        </is>
      </c>
      <c r="Q453" s="3" t="str">
        <f>HYPERLINK("https://modify.by/img/597161495/1.webp","фото")</f>
        <v>фото</v>
      </c>
      <c r="R453" s="3" t="str">
        <f>HYPERLINK("https://modify.by/catalog/svitery/597161495/?utm_source=price&amp;utm_medium=xlsx","открыть")</f>
        <v>открыть</v>
      </c>
    </row>
    <row r="454">
      <c r="A454" t="inlineStr">
        <is>
          <t xml:space="preserve">Мужской</t>
        </is>
      </c>
      <c r="B454" t="inlineStr">
        <is>
          <t xml:space="preserve">Свитеры</t>
        </is>
      </c>
      <c r="C454" t="inlineStr">
        <is>
          <t xml:space="preserve">Джемпер теплый классический, синий меланж</t>
        </is>
      </c>
      <c r="D454" t="inlineStr">
        <is>
          <t xml:space="preserve">SW52M03синий</t>
        </is>
      </c>
      <c r="E454" t="inlineStr">
        <is>
          <t xml:space="preserve">синий меланж, светло-синий</t>
        </is>
      </c>
      <c r="F454" t="inlineStr">
        <is>
          <t xml:space="preserve">50</t>
        </is>
      </c>
      <c r="G454">
        <v>10</v>
      </c>
      <c r="H454" s="2">
        <v>32.0</v>
      </c>
      <c r="I454" t="inlineStr">
        <is>
          <t xml:space="preserve">шерсть, вискоза, акрил, пэ</t>
        </is>
      </c>
      <c r="J454"/>
      <c r="K454" t="inlineStr">
        <is>
          <t xml:space="preserve">Бангладеш</t>
        </is>
      </c>
      <c r="L454" t="inlineStr">
        <is>
          <t xml:space="preserve">6110209100</t>
        </is>
      </c>
      <c r="M454" t="inlineStr">
        <is>
          <t xml:space="preserve">Декларация № ЕАЭС № BY/112 11.01. ТР017 122.01 08246, до 19.04.2028</t>
        </is>
      </c>
      <c r="N454" t="inlineStr">
        <is>
          <t xml:space="preserve">35 × 30 × 3</t>
        </is>
      </c>
      <c r="O454" t="inlineStr">
        <is>
          <t xml:space="preserve">0,38</t>
        </is>
      </c>
      <c r="P454" t="inlineStr">
        <is>
          <t xml:space="preserve">4816148171146</t>
        </is>
      </c>
      <c r="Q454" s="3" t="str">
        <f>HYPERLINK("https://modify.by/img/597161495/1.webp","фото")</f>
        <v>фото</v>
      </c>
      <c r="R454" s="3" t="str">
        <f>HYPERLINK("https://modify.by/catalog/svitery/597161495/?utm_source=price&amp;utm_medium=xlsx","открыть")</f>
        <v>открыть</v>
      </c>
    </row>
    <row r="455">
      <c r="A455" t="inlineStr">
        <is>
          <t xml:space="preserve">Мужской</t>
        </is>
      </c>
      <c r="B455" t="inlineStr">
        <is>
          <t xml:space="preserve">Свитеры</t>
        </is>
      </c>
      <c r="C455" t="inlineStr">
        <is>
          <t xml:space="preserve">Джемпер теплый классический, синий меланж</t>
        </is>
      </c>
      <c r="D455" t="inlineStr">
        <is>
          <t xml:space="preserve">SW52M03синий</t>
        </is>
      </c>
      <c r="E455" t="inlineStr">
        <is>
          <t xml:space="preserve">синий меланж, светло-синий</t>
        </is>
      </c>
      <c r="F455" t="inlineStr">
        <is>
          <t xml:space="preserve">52</t>
        </is>
      </c>
      <c r="G455">
        <v>38</v>
      </c>
      <c r="H455" s="2">
        <v>32.0</v>
      </c>
      <c r="I455" t="inlineStr">
        <is>
          <t xml:space="preserve">шерсть, вискоза, акрил, пэ</t>
        </is>
      </c>
      <c r="J455"/>
      <c r="K455" t="inlineStr">
        <is>
          <t xml:space="preserve">Бангладеш</t>
        </is>
      </c>
      <c r="L455" t="inlineStr">
        <is>
          <t xml:space="preserve">6110209100</t>
        </is>
      </c>
      <c r="M455" t="inlineStr">
        <is>
          <t xml:space="preserve">Декларация № ЕАЭС № BY/112 11.01. ТР017 122.01 08246, до 19.04.2028</t>
        </is>
      </c>
      <c r="N455" t="inlineStr">
        <is>
          <t xml:space="preserve">35 × 30 × 3</t>
        </is>
      </c>
      <c r="O455" t="inlineStr">
        <is>
          <t xml:space="preserve">0,38</t>
        </is>
      </c>
      <c r="P455" t="inlineStr">
        <is>
          <t xml:space="preserve">4816148171153</t>
        </is>
      </c>
      <c r="Q455" s="3" t="str">
        <f>HYPERLINK("https://modify.by/img/597161495/1.webp","фото")</f>
        <v>фото</v>
      </c>
      <c r="R455" s="3" t="str">
        <f>HYPERLINK("https://modify.by/catalog/svitery/597161495/?utm_source=price&amp;utm_medium=xlsx","открыть")</f>
        <v>открыть</v>
      </c>
    </row>
    <row r="456">
      <c r="A456" t="inlineStr">
        <is>
          <t xml:space="preserve">Мужской</t>
        </is>
      </c>
      <c r="B456" t="inlineStr">
        <is>
          <t xml:space="preserve">Свитеры</t>
        </is>
      </c>
      <c r="C456" t="inlineStr">
        <is>
          <t xml:space="preserve">Джемпер теплый классический, теплый бежевый</t>
        </is>
      </c>
      <c r="D456" t="inlineStr">
        <is>
          <t xml:space="preserve">SW52M03бежевый</t>
        </is>
      </c>
      <c r="E456" t="inlineStr">
        <is>
          <t xml:space="preserve">теплый бежевый, песочный</t>
        </is>
      </c>
      <c r="F456" t="inlineStr">
        <is>
          <t xml:space="preserve">48</t>
        </is>
      </c>
      <c r="G456">
        <v>5</v>
      </c>
      <c r="H456" s="2">
        <v>32.0</v>
      </c>
      <c r="I456" t="inlineStr">
        <is>
          <t xml:space="preserve">шерсть, вискоза, акрил, пэ</t>
        </is>
      </c>
      <c r="J456"/>
      <c r="K456" t="inlineStr">
        <is>
          <t xml:space="preserve">Бангладеш</t>
        </is>
      </c>
      <c r="L456" t="inlineStr">
        <is>
          <t xml:space="preserve">6110209100</t>
        </is>
      </c>
      <c r="M456" t="inlineStr">
        <is>
          <t xml:space="preserve">Декларация № ЕАЭС № BY/112 11.01. ТР017 122.01 08246, до 19.04.2028</t>
        </is>
      </c>
      <c r="N456" t="inlineStr">
        <is>
          <t xml:space="preserve">37 × 30 × 2</t>
        </is>
      </c>
      <c r="O456" t="inlineStr">
        <is>
          <t xml:space="preserve">0,38</t>
        </is>
      </c>
      <c r="P456" t="inlineStr">
        <is>
          <t xml:space="preserve">4816148171078</t>
        </is>
      </c>
      <c r="Q456" s="3" t="str">
        <f>HYPERLINK("https://modify.by/img/597294566/1.webp","фото")</f>
        <v>фото</v>
      </c>
      <c r="R456" s="3" t="str">
        <f>HYPERLINK("https://modify.by/catalog/svitery/597294566/?utm_source=price&amp;utm_medium=xlsx","открыть")</f>
        <v>открыть</v>
      </c>
    </row>
    <row r="457">
      <c r="A457" t="inlineStr">
        <is>
          <t xml:space="preserve">Мужской</t>
        </is>
      </c>
      <c r="B457" t="inlineStr">
        <is>
          <t xml:space="preserve">Свитеры</t>
        </is>
      </c>
      <c r="C457" t="inlineStr">
        <is>
          <t xml:space="preserve">Джемпер теплый классический, теплый бежевый</t>
        </is>
      </c>
      <c r="D457" t="inlineStr">
        <is>
          <t xml:space="preserve">SW52M03бежевый</t>
        </is>
      </c>
      <c r="E457" t="inlineStr">
        <is>
          <t xml:space="preserve">теплый бежевый, песочный</t>
        </is>
      </c>
      <c r="F457" t="inlineStr">
        <is>
          <t xml:space="preserve">50</t>
        </is>
      </c>
      <c r="G457">
        <v>2</v>
      </c>
      <c r="H457" s="2">
        <v>32.0</v>
      </c>
      <c r="I457" t="inlineStr">
        <is>
          <t xml:space="preserve">шерсть, вискоза, акрил, пэ</t>
        </is>
      </c>
      <c r="J457"/>
      <c r="K457" t="inlineStr">
        <is>
          <t xml:space="preserve">Бангладеш</t>
        </is>
      </c>
      <c r="L457" t="inlineStr">
        <is>
          <t xml:space="preserve">6110209100</t>
        </is>
      </c>
      <c r="M457" t="inlineStr">
        <is>
          <t xml:space="preserve">Декларация № ЕАЭС № BY/112 11.01. ТР017 122.01 08246, до 19.04.2028</t>
        </is>
      </c>
      <c r="N457" t="inlineStr">
        <is>
          <t xml:space="preserve">37 × 30 × 2</t>
        </is>
      </c>
      <c r="O457" t="inlineStr">
        <is>
          <t xml:space="preserve">0,38</t>
        </is>
      </c>
      <c r="P457" t="inlineStr">
        <is>
          <t xml:space="preserve">4816148171085</t>
        </is>
      </c>
      <c r="Q457" s="3" t="str">
        <f>HYPERLINK("https://modify.by/img/597294566/1.webp","фото")</f>
        <v>фото</v>
      </c>
      <c r="R457" s="3" t="str">
        <f>HYPERLINK("https://modify.by/catalog/svitery/597294566/?utm_source=price&amp;utm_medium=xlsx","открыть")</f>
        <v>открыть</v>
      </c>
    </row>
    <row r="458">
      <c r="A458" t="inlineStr">
        <is>
          <t xml:space="preserve">Мужской</t>
        </is>
      </c>
      <c r="B458" t="inlineStr">
        <is>
          <t xml:space="preserve">Свитеры</t>
        </is>
      </c>
      <c r="C458" t="inlineStr">
        <is>
          <t xml:space="preserve">Джемпер теплый классический, теплый бежевый</t>
        </is>
      </c>
      <c r="D458" t="inlineStr">
        <is>
          <t xml:space="preserve">SW52M03бежевый</t>
        </is>
      </c>
      <c r="E458" t="inlineStr">
        <is>
          <t xml:space="preserve">теплый бежевый, песочный</t>
        </is>
      </c>
      <c r="F458" t="inlineStr">
        <is>
          <t xml:space="preserve">52</t>
        </is>
      </c>
      <c r="G458">
        <v>19</v>
      </c>
      <c r="H458" s="2">
        <v>32.0</v>
      </c>
      <c r="I458" t="inlineStr">
        <is>
          <t xml:space="preserve">шерсть, вискоза, акрил, пэ</t>
        </is>
      </c>
      <c r="J458"/>
      <c r="K458" t="inlineStr">
        <is>
          <t xml:space="preserve">Бангладеш</t>
        </is>
      </c>
      <c r="L458" t="inlineStr">
        <is>
          <t xml:space="preserve">6110209100</t>
        </is>
      </c>
      <c r="M458" t="inlineStr">
        <is>
          <t xml:space="preserve">Декларация № ЕАЭС № BY/112 11.01. ТР017 122.01 08246, до 19.04.2028</t>
        </is>
      </c>
      <c r="N458" t="inlineStr">
        <is>
          <t xml:space="preserve">37 × 30 × 2</t>
        </is>
      </c>
      <c r="O458" t="inlineStr">
        <is>
          <t xml:space="preserve">0,38</t>
        </is>
      </c>
      <c r="P458" t="inlineStr">
        <is>
          <t xml:space="preserve">4816148171092</t>
        </is>
      </c>
      <c r="Q458" s="3" t="str">
        <f>HYPERLINK("https://modify.by/img/597294566/1.webp","фото")</f>
        <v>фото</v>
      </c>
      <c r="R458" s="3" t="str">
        <f>HYPERLINK("https://modify.by/catalog/svitery/597294566/?utm_source=price&amp;utm_medium=xlsx","открыть")</f>
        <v>открыть</v>
      </c>
    </row>
    <row r="459">
      <c r="A459" t="inlineStr">
        <is>
          <t xml:space="preserve">Мужской</t>
        </is>
      </c>
      <c r="B459" t="inlineStr">
        <is>
          <t xml:space="preserve">Свитеры</t>
        </is>
      </c>
      <c r="C459" t="inlineStr">
        <is>
          <t xml:space="preserve">Джемпер хлопковый трикотажный свитер пуловер кофта, светло-сиреневый</t>
        </is>
      </c>
      <c r="D459" t="inlineStr">
        <is>
          <t xml:space="preserve">SW42M07светло-сиреневый</t>
        </is>
      </c>
      <c r="E459" t="inlineStr">
        <is>
          <t xml:space="preserve">светло-сиреневый</t>
        </is>
      </c>
      <c r="F459" t="inlineStr">
        <is>
          <t xml:space="preserve">46</t>
        </is>
      </c>
      <c r="G459">
        <v>18</v>
      </c>
      <c r="H459" s="2">
        <v>27.0</v>
      </c>
      <c r="I459" t="inlineStr">
        <is>
          <t xml:space="preserve">100% хлопок</t>
        </is>
      </c>
      <c r="J459"/>
      <c r="K459" t="inlineStr">
        <is>
          <t xml:space="preserve">Бангладеш</t>
        </is>
      </c>
      <c r="L459" t="inlineStr">
        <is>
          <t xml:space="preserve">6110209100</t>
        </is>
      </c>
      <c r="M459" t="inlineStr">
        <is>
          <t xml:space="preserve">Декларация № ЕАЭС № BY/112 11.01. ТР017 122.01 08246, до 19.04.2028</t>
        </is>
      </c>
      <c r="N459" t="inlineStr">
        <is>
          <t xml:space="preserve">36 × 27 × 2</t>
        </is>
      </c>
      <c r="O459" t="inlineStr">
        <is>
          <t xml:space="preserve">0,33</t>
        </is>
      </c>
      <c r="P459" t="inlineStr">
        <is>
          <t xml:space="preserve">4816148147813</t>
        </is>
      </c>
      <c r="Q459" s="3" t="str">
        <f>HYPERLINK("https://modify.by/img/258242620/1.webp","фото")</f>
        <v>фото</v>
      </c>
      <c r="R459" s="3" t="str">
        <f>HYPERLINK("https://modify.by/catalog/svitery/258242620/?utm_source=price&amp;utm_medium=xlsx","открыть")</f>
        <v>открыть</v>
      </c>
    </row>
    <row r="460">
      <c r="A460" t="inlineStr">
        <is>
          <t xml:space="preserve">Мужской</t>
        </is>
      </c>
      <c r="B460" t="inlineStr">
        <is>
          <t xml:space="preserve">Свитеры</t>
        </is>
      </c>
      <c r="C460" t="inlineStr">
        <is>
          <t xml:space="preserve">Джемпер хлопковый трикотажный свитер пуловер кофта, светло-сиреневый</t>
        </is>
      </c>
      <c r="D460" t="inlineStr">
        <is>
          <t xml:space="preserve">SW42M07светло-сиреневый</t>
        </is>
      </c>
      <c r="E460" t="inlineStr">
        <is>
          <t xml:space="preserve">светло-сиреневый</t>
        </is>
      </c>
      <c r="F460" t="inlineStr">
        <is>
          <t xml:space="preserve">48</t>
        </is>
      </c>
      <c r="G460">
        <v>15</v>
      </c>
      <c r="H460" s="2">
        <v>27.0</v>
      </c>
      <c r="I460" t="inlineStr">
        <is>
          <t xml:space="preserve">100% хлопок</t>
        </is>
      </c>
      <c r="J460"/>
      <c r="K460" t="inlineStr">
        <is>
          <t xml:space="preserve">Бангладеш</t>
        </is>
      </c>
      <c r="L460" t="inlineStr">
        <is>
          <t xml:space="preserve">6110209100</t>
        </is>
      </c>
      <c r="M460" t="inlineStr">
        <is>
          <t xml:space="preserve">Декларация № ЕАЭС № BY/112 11.01. ТР017 122.01 08246, до 19.04.2028</t>
        </is>
      </c>
      <c r="N460" t="inlineStr">
        <is>
          <t xml:space="preserve">36 × 27 × 2</t>
        </is>
      </c>
      <c r="O460" t="inlineStr">
        <is>
          <t xml:space="preserve">0,33</t>
        </is>
      </c>
      <c r="P460" t="inlineStr">
        <is>
          <t xml:space="preserve">4816148147820</t>
        </is>
      </c>
      <c r="Q460" s="3" t="str">
        <f>HYPERLINK("https://modify.by/img/258242620/1.webp","фото")</f>
        <v>фото</v>
      </c>
      <c r="R460" s="3" t="str">
        <f>HYPERLINK("https://modify.by/catalog/svitery/258242620/?utm_source=price&amp;utm_medium=xlsx","открыть")</f>
        <v>открыть</v>
      </c>
    </row>
    <row r="461">
      <c r="A461" t="inlineStr">
        <is>
          <t xml:space="preserve">Мужской</t>
        </is>
      </c>
      <c r="B461" t="inlineStr">
        <is>
          <t xml:space="preserve">Свитеры</t>
        </is>
      </c>
      <c r="C461" t="inlineStr">
        <is>
          <t xml:space="preserve">Джемпер хлопковый трикотажный свитер пуловер кофта, темно-синий</t>
        </is>
      </c>
      <c r="D461" t="inlineStr">
        <is>
          <t xml:space="preserve">SW42M07темно-синий</t>
        </is>
      </c>
      <c r="E461" t="inlineStr">
        <is>
          <t xml:space="preserve">темно-синий</t>
        </is>
      </c>
      <c r="F461" t="inlineStr">
        <is>
          <t xml:space="preserve">46</t>
        </is>
      </c>
      <c r="G461">
        <v>13</v>
      </c>
      <c r="H461" s="2">
        <v>27.0</v>
      </c>
      <c r="I461" t="inlineStr">
        <is>
          <t xml:space="preserve">100% хлопок</t>
        </is>
      </c>
      <c r="J461"/>
      <c r="K461" t="inlineStr">
        <is>
          <t xml:space="preserve">Бангладеш</t>
        </is>
      </c>
      <c r="L461" t="inlineStr">
        <is>
          <t xml:space="preserve">6110209100</t>
        </is>
      </c>
      <c r="M461" t="inlineStr">
        <is>
          <t xml:space="preserve">Декларация № ЕАЭС № BY/112 11.01. ТР017 122.01 08246, до 19.04.2028</t>
        </is>
      </c>
      <c r="N461" t="inlineStr">
        <is>
          <t xml:space="preserve">36 × 27 × 2</t>
        </is>
      </c>
      <c r="O461" t="inlineStr">
        <is>
          <t xml:space="preserve">0,33</t>
        </is>
      </c>
      <c r="P461" t="inlineStr">
        <is>
          <t xml:space="preserve">4816148147714</t>
        </is>
      </c>
      <c r="Q461" s="3" t="str">
        <f>HYPERLINK("https://modify.by/img/258242618/1.webp","фото")</f>
        <v>фото</v>
      </c>
      <c r="R461" s="3" t="str">
        <f>HYPERLINK("https://modify.by/catalog/svitery/258242618/?utm_source=price&amp;utm_medium=xlsx","открыть")</f>
        <v>открыть</v>
      </c>
    </row>
    <row r="462">
      <c r="A462" t="inlineStr">
        <is>
          <t xml:space="preserve">Мужской</t>
        </is>
      </c>
      <c r="B462" t="inlineStr">
        <is>
          <t xml:space="preserve">Свитеры</t>
        </is>
      </c>
      <c r="C462" t="inlineStr">
        <is>
          <t xml:space="preserve">Джемпер хлопковый трикотажный свитер пуловер кофта, темно-синий</t>
        </is>
      </c>
      <c r="D462" t="inlineStr">
        <is>
          <t xml:space="preserve">SW42M07темно-синий</t>
        </is>
      </c>
      <c r="E462" t="inlineStr">
        <is>
          <t xml:space="preserve">темно-синий</t>
        </is>
      </c>
      <c r="F462" t="inlineStr">
        <is>
          <t xml:space="preserve">48</t>
        </is>
      </c>
      <c r="G462">
        <v>20</v>
      </c>
      <c r="H462" s="2">
        <v>27.0</v>
      </c>
      <c r="I462" t="inlineStr">
        <is>
          <t xml:space="preserve">100% хлопок</t>
        </is>
      </c>
      <c r="J462"/>
      <c r="K462" t="inlineStr">
        <is>
          <t xml:space="preserve">Бангладеш</t>
        </is>
      </c>
      <c r="L462" t="inlineStr">
        <is>
          <t xml:space="preserve">6110209100</t>
        </is>
      </c>
      <c r="M462" t="inlineStr">
        <is>
          <t xml:space="preserve">Декларация № ЕАЭС № BY/112 11.01. ТР017 122.01 08246, до 19.04.2028</t>
        </is>
      </c>
      <c r="N462" t="inlineStr">
        <is>
          <t xml:space="preserve">36 × 27 × 2</t>
        </is>
      </c>
      <c r="O462" t="inlineStr">
        <is>
          <t xml:space="preserve">0,33</t>
        </is>
      </c>
      <c r="P462" t="inlineStr">
        <is>
          <t xml:space="preserve">4816148147721</t>
        </is>
      </c>
      <c r="Q462" s="3" t="str">
        <f>HYPERLINK("https://modify.by/img/258242618/1.webp","фото")</f>
        <v>фото</v>
      </c>
      <c r="R462" s="3" t="str">
        <f>HYPERLINK("https://modify.by/catalog/svitery/258242618/?utm_source=price&amp;utm_medium=xlsx","открыть")</f>
        <v>открыть</v>
      </c>
    </row>
    <row r="463">
      <c r="A463" t="inlineStr">
        <is>
          <t xml:space="preserve">Мужской</t>
        </is>
      </c>
      <c r="B463" t="inlineStr">
        <is>
          <t xml:space="preserve">Свитеры</t>
        </is>
      </c>
      <c r="C463" t="inlineStr">
        <is>
          <t xml:space="preserve">Джемпер хлопок</t>
        </is>
      </c>
      <c r="D463" t="inlineStr">
        <is>
          <t xml:space="preserve">SW12M10Синий</t>
        </is>
      </c>
      <c r="E463" t="inlineStr">
        <is>
          <t xml:space="preserve">синий</t>
        </is>
      </c>
      <c r="F463" t="inlineStr">
        <is>
          <t xml:space="preserve">52-54</t>
        </is>
      </c>
      <c r="G463">
        <v>3</v>
      </c>
      <c r="H463" s="2">
        <v>26.0</v>
      </c>
      <c r="I463" t="inlineStr">
        <is>
          <t xml:space="preserve">хлопок 100%</t>
        </is>
      </c>
      <c r="J463"/>
      <c r="K463" t="inlineStr">
        <is>
          <t xml:space="preserve">Бангладеш</t>
        </is>
      </c>
      <c r="L463" t="inlineStr">
        <is>
          <t xml:space="preserve">6110209900</t>
        </is>
      </c>
      <c r="M463" t="inlineStr">
        <is>
          <t xml:space="preserve">по запросу</t>
        </is>
      </c>
      <c r="N463"/>
      <c r="O463"/>
      <c r="P463" t="inlineStr">
        <is>
          <t xml:space="preserve">2004570295024</t>
        </is>
      </c>
      <c r="Q463" s="3" t="str">
        <f>HYPERLINK("https://modify.by/img/51816560/1.webp","фото")</f>
        <v>фото</v>
      </c>
      <c r="R463" s="3" t="str">
        <f>HYPERLINK("https://modify.by/catalog/svitery/51816560/?utm_source=price&amp;utm_medium=xlsx","открыть")</f>
        <v>открыть</v>
      </c>
    </row>
    <row r="464">
      <c r="A464" t="inlineStr">
        <is>
          <t xml:space="preserve">Мужской</t>
        </is>
      </c>
      <c r="B464" t="inlineStr">
        <is>
          <t xml:space="preserve">Свитеры</t>
        </is>
      </c>
      <c r="C464" t="inlineStr">
        <is>
          <t xml:space="preserve">Пуловер классический хлопковый с V-образным вырезом, оранжевый</t>
        </is>
      </c>
      <c r="D464" t="inlineStr">
        <is>
          <t xml:space="preserve">SW62M05Оранжевый</t>
        </is>
      </c>
      <c r="E464" t="inlineStr">
        <is>
          <t xml:space="preserve">оранжевый</t>
        </is>
      </c>
      <c r="F464" t="inlineStr">
        <is>
          <t xml:space="preserve">46-48</t>
        </is>
      </c>
      <c r="G464">
        <v>43</v>
      </c>
      <c r="H464" s="2">
        <v>33.0</v>
      </c>
      <c r="I464" t="inlineStr">
        <is>
          <t xml:space="preserve">100% Хлопок</t>
        </is>
      </c>
      <c r="J464"/>
      <c r="K464" t="inlineStr">
        <is>
          <t xml:space="preserve">Бангладеш</t>
        </is>
      </c>
      <c r="L464" t="inlineStr">
        <is>
          <t xml:space="preserve">6110209100</t>
        </is>
      </c>
      <c r="M464" t="inlineStr">
        <is>
          <t xml:space="preserve">Декларация № ЕАЭС № BY/112 11.01. ТР017 122.01 08246, до 19.04.2028</t>
        </is>
      </c>
      <c r="N464" t="inlineStr">
        <is>
          <t xml:space="preserve">28 × 12 × 11</t>
        </is>
      </c>
      <c r="O464" t="inlineStr">
        <is>
          <t xml:space="preserve">0,51</t>
        </is>
      </c>
      <c r="P464" t="inlineStr">
        <is>
          <t xml:space="preserve">4816148185884</t>
        </is>
      </c>
      <c r="Q464" s="3" t="str">
        <f>HYPERLINK("https://modify.by/img/1543971531/1.webp","фото")</f>
        <v>фото</v>
      </c>
      <c r="R464" s="3" t="str">
        <f>HYPERLINK("https://modify.by/catalog/svitery/1543971531/?utm_source=price&amp;utm_medium=xlsx","открыть")</f>
        <v>открыть</v>
      </c>
    </row>
    <row r="465">
      <c r="A465" t="inlineStr">
        <is>
          <t xml:space="preserve">Мужской</t>
        </is>
      </c>
      <c r="B465" t="inlineStr">
        <is>
          <t xml:space="preserve">Свитеры</t>
        </is>
      </c>
      <c r="C465" t="inlineStr">
        <is>
          <t xml:space="preserve">Пуловер классический хлопковый с V-образным вырезом, оранжевый</t>
        </is>
      </c>
      <c r="D465" t="inlineStr">
        <is>
          <t xml:space="preserve">SW62M05Оранжевый</t>
        </is>
      </c>
      <c r="E465" t="inlineStr">
        <is>
          <t xml:space="preserve">оранжевый</t>
        </is>
      </c>
      <c r="F465" t="inlineStr">
        <is>
          <t xml:space="preserve">48-50</t>
        </is>
      </c>
      <c r="G465">
        <v>16</v>
      </c>
      <c r="H465" s="2">
        <v>33.0</v>
      </c>
      <c r="I465" t="inlineStr">
        <is>
          <t xml:space="preserve">100% Хлопок</t>
        </is>
      </c>
      <c r="J465"/>
      <c r="K465" t="inlineStr">
        <is>
          <t xml:space="preserve">Бангладеш</t>
        </is>
      </c>
      <c r="L465" t="inlineStr">
        <is>
          <t xml:space="preserve">6110209100</t>
        </is>
      </c>
      <c r="M465" t="inlineStr">
        <is>
          <t xml:space="preserve">Декларация № ЕАЭС № BY/112 11.01. ТР017 122.01 08246, до 19.04.2028</t>
        </is>
      </c>
      <c r="N465" t="inlineStr">
        <is>
          <t xml:space="preserve">28 × 12 × 11</t>
        </is>
      </c>
      <c r="O465" t="inlineStr">
        <is>
          <t xml:space="preserve">0,51</t>
        </is>
      </c>
      <c r="P465" t="inlineStr">
        <is>
          <t xml:space="preserve">4816148185891</t>
        </is>
      </c>
      <c r="Q465" s="3" t="str">
        <f>HYPERLINK("https://modify.by/img/1543971531/1.webp","фото")</f>
        <v>фото</v>
      </c>
      <c r="R465" s="3" t="str">
        <f>HYPERLINK("https://modify.by/catalog/svitery/1543971531/?utm_source=price&amp;utm_medium=xlsx","открыть")</f>
        <v>открыть</v>
      </c>
    </row>
    <row r="466">
      <c r="A466" t="inlineStr">
        <is>
          <t xml:space="preserve">Мужской</t>
        </is>
      </c>
      <c r="B466" t="inlineStr">
        <is>
          <t xml:space="preserve">Свитеры</t>
        </is>
      </c>
      <c r="C466" t="inlineStr">
        <is>
          <t xml:space="preserve">Пуловер классический хлопковый с V-образным вырезом, оранжевый</t>
        </is>
      </c>
      <c r="D466" t="inlineStr">
        <is>
          <t xml:space="preserve">SW62M05Оранжевый</t>
        </is>
      </c>
      <c r="E466" t="inlineStr">
        <is>
          <t xml:space="preserve">оранжевый</t>
        </is>
      </c>
      <c r="F466" t="inlineStr">
        <is>
          <t xml:space="preserve">50-52</t>
        </is>
      </c>
      <c r="G466">
        <v>3</v>
      </c>
      <c r="H466" s="2">
        <v>33.0</v>
      </c>
      <c r="I466" t="inlineStr">
        <is>
          <t xml:space="preserve">100% Хлопок</t>
        </is>
      </c>
      <c r="J466"/>
      <c r="K466" t="inlineStr">
        <is>
          <t xml:space="preserve">Бангладеш</t>
        </is>
      </c>
      <c r="L466" t="inlineStr">
        <is>
          <t xml:space="preserve">6110209100</t>
        </is>
      </c>
      <c r="M466" t="inlineStr">
        <is>
          <t xml:space="preserve">Декларация № ЕАЭС № BY/112 11.01. ТР017 122.01 08246, до 19.04.2028</t>
        </is>
      </c>
      <c r="N466" t="inlineStr">
        <is>
          <t xml:space="preserve">28 × 12 × 11</t>
        </is>
      </c>
      <c r="O466" t="inlineStr">
        <is>
          <t xml:space="preserve">0,51</t>
        </is>
      </c>
      <c r="P466" t="inlineStr">
        <is>
          <t xml:space="preserve">4816148185907</t>
        </is>
      </c>
      <c r="Q466" s="3" t="str">
        <f>HYPERLINK("https://modify.by/img/1543971531/1.webp","фото")</f>
        <v>фото</v>
      </c>
      <c r="R466" s="3" t="str">
        <f>HYPERLINK("https://modify.by/catalog/svitery/1543971531/?utm_source=price&amp;utm_medium=xlsx","открыть")</f>
        <v>открыть</v>
      </c>
    </row>
    <row r="467">
      <c r="A467" t="inlineStr">
        <is>
          <t xml:space="preserve">Мужской</t>
        </is>
      </c>
      <c r="B467" t="inlineStr">
        <is>
          <t xml:space="preserve">Свитеры</t>
        </is>
      </c>
      <c r="C467" t="inlineStr">
        <is>
          <t xml:space="preserve">Пуловер классический хлопковый с V-образным вырезом, оранжевый</t>
        </is>
      </c>
      <c r="D467" t="inlineStr">
        <is>
          <t xml:space="preserve">SW62M05Оранжевый</t>
        </is>
      </c>
      <c r="E467" t="inlineStr">
        <is>
          <t xml:space="preserve">оранжевый</t>
        </is>
      </c>
      <c r="F467" t="inlineStr">
        <is>
          <t xml:space="preserve">54-56</t>
        </is>
      </c>
      <c r="G467">
        <v>1</v>
      </c>
      <c r="H467" s="2">
        <v>33.0</v>
      </c>
      <c r="I467" t="inlineStr">
        <is>
          <t xml:space="preserve">100% Хлопок</t>
        </is>
      </c>
      <c r="J467"/>
      <c r="K467" t="inlineStr">
        <is>
          <t xml:space="preserve">Бангладеш</t>
        </is>
      </c>
      <c r="L467" t="inlineStr">
        <is>
          <t xml:space="preserve">6110209100</t>
        </is>
      </c>
      <c r="M467" t="inlineStr">
        <is>
          <t xml:space="preserve">Декларация № ЕАЭС № BY/112 11.01. ТР017 122.01 08246, до 19.04.2028</t>
        </is>
      </c>
      <c r="N467" t="inlineStr">
        <is>
          <t xml:space="preserve">28 × 12 × 11</t>
        </is>
      </c>
      <c r="O467" t="inlineStr">
        <is>
          <t xml:space="preserve">0,51</t>
        </is>
      </c>
      <c r="P467" t="inlineStr">
        <is>
          <t xml:space="preserve">4816148185914</t>
        </is>
      </c>
      <c r="Q467" s="3" t="str">
        <f>HYPERLINK("https://modify.by/img/1543971531/1.webp","фото")</f>
        <v>фото</v>
      </c>
      <c r="R467" s="3" t="str">
        <f>HYPERLINK("https://modify.by/catalog/svitery/1543971531/?utm_source=price&amp;utm_medium=xlsx","открыть")</f>
        <v>открыть</v>
      </c>
    </row>
    <row r="468">
      <c r="A468" t="inlineStr">
        <is>
          <t xml:space="preserve">Мужской</t>
        </is>
      </c>
      <c r="B468" t="inlineStr">
        <is>
          <t xml:space="preserve">Свитеры</t>
        </is>
      </c>
      <c r="C468" t="inlineStr">
        <is>
          <t xml:space="preserve">Пуловер классический хлопковый с V-образным вырезом, оранжевый</t>
        </is>
      </c>
      <c r="D468" t="inlineStr">
        <is>
          <t xml:space="preserve">SW62M05Оранжевый</t>
        </is>
      </c>
      <c r="E468" t="inlineStr">
        <is>
          <t xml:space="preserve">оранжевый</t>
        </is>
      </c>
      <c r="F468" t="inlineStr">
        <is>
          <t xml:space="preserve">56-58</t>
        </is>
      </c>
      <c r="G468">
        <v>1</v>
      </c>
      <c r="H468" s="2">
        <v>33.0</v>
      </c>
      <c r="I468" t="inlineStr">
        <is>
          <t xml:space="preserve">100% Хлопок</t>
        </is>
      </c>
      <c r="J468"/>
      <c r="K468" t="inlineStr">
        <is>
          <t xml:space="preserve">Бангладеш</t>
        </is>
      </c>
      <c r="L468" t="inlineStr">
        <is>
          <t xml:space="preserve">6110209100</t>
        </is>
      </c>
      <c r="M468" t="inlineStr">
        <is>
          <t xml:space="preserve">Декларация № ЕАЭС № BY/112 11.01. ТР017 122.01 08246, до 19.04.2028</t>
        </is>
      </c>
      <c r="N468" t="inlineStr">
        <is>
          <t xml:space="preserve">28 × 12 × 11</t>
        </is>
      </c>
      <c r="O468" t="inlineStr">
        <is>
          <t xml:space="preserve">0,51</t>
        </is>
      </c>
      <c r="P468" t="inlineStr">
        <is>
          <t xml:space="preserve">4816148185921</t>
        </is>
      </c>
      <c r="Q468" s="3" t="str">
        <f>HYPERLINK("https://modify.by/img/1543971531/1.webp","фото")</f>
        <v>фото</v>
      </c>
      <c r="R468" s="3" t="str">
        <f>HYPERLINK("https://modify.by/catalog/svitery/1543971531/?utm_source=price&amp;utm_medium=xlsx","открыть")</f>
        <v>открыть</v>
      </c>
    </row>
    <row r="469">
      <c r="A469" t="inlineStr">
        <is>
          <t xml:space="preserve">Мужской</t>
        </is>
      </c>
      <c r="B469" t="inlineStr">
        <is>
          <t xml:space="preserve">Свитеры</t>
        </is>
      </c>
      <c r="C469" t="inlineStr">
        <is>
          <t xml:space="preserve">Пуловер классический хлопковый с V-образным вырезом, серо-голубой</t>
        </is>
      </c>
      <c r="D469" t="inlineStr">
        <is>
          <t xml:space="preserve">SW62M05Серо-голубой</t>
        </is>
      </c>
      <c r="E469" t="inlineStr">
        <is>
          <t xml:space="preserve">серо-голубой</t>
        </is>
      </c>
      <c r="F469" t="inlineStr">
        <is>
          <t xml:space="preserve">44-46</t>
        </is>
      </c>
      <c r="G469">
        <v>2</v>
      </c>
      <c r="H469" s="2">
        <v>33.0</v>
      </c>
      <c r="I469" t="inlineStr">
        <is>
          <t xml:space="preserve">100% Хлопок</t>
        </is>
      </c>
      <c r="J469"/>
      <c r="K469" t="inlineStr">
        <is>
          <t xml:space="preserve">Бангладеш</t>
        </is>
      </c>
      <c r="L469" t="inlineStr">
        <is>
          <t xml:space="preserve">6110209100</t>
        </is>
      </c>
      <c r="M469" t="inlineStr">
        <is>
          <t xml:space="preserve">Декларация № ЕАЭС № BY/112 11.01. ТР017 122.01 08246, до 19.04.2028</t>
        </is>
      </c>
      <c r="N469" t="inlineStr">
        <is>
          <t xml:space="preserve">28 × 12 × 11</t>
        </is>
      </c>
      <c r="O469" t="inlineStr">
        <is>
          <t xml:space="preserve">0,51</t>
        </is>
      </c>
      <c r="P469" t="inlineStr">
        <is>
          <t xml:space="preserve">4816148185655</t>
        </is>
      </c>
      <c r="Q469" s="3" t="str">
        <f>HYPERLINK("https://modify.by/img/1543971528/1.webp","фото")</f>
        <v>фото</v>
      </c>
      <c r="R469" s="3" t="str">
        <f>HYPERLINK("https://modify.by/catalog/svitery/1543971528/?utm_source=price&amp;utm_medium=xlsx","открыть")</f>
        <v>открыть</v>
      </c>
    </row>
    <row r="470">
      <c r="A470" t="inlineStr">
        <is>
          <t xml:space="preserve">Мужской</t>
        </is>
      </c>
      <c r="B470" t="inlineStr">
        <is>
          <t xml:space="preserve">Свитеры</t>
        </is>
      </c>
      <c r="C470" t="inlineStr">
        <is>
          <t xml:space="preserve">Пуловер классический хлопковый с V-образным вырезом, серо-голубой</t>
        </is>
      </c>
      <c r="D470" t="inlineStr">
        <is>
          <t xml:space="preserve">SW62M05Серо-голубой</t>
        </is>
      </c>
      <c r="E470" t="inlineStr">
        <is>
          <t xml:space="preserve">серо-голубой</t>
        </is>
      </c>
      <c r="F470" t="inlineStr">
        <is>
          <t xml:space="preserve">48-50</t>
        </is>
      </c>
      <c r="G470">
        <v>5</v>
      </c>
      <c r="H470" s="2">
        <v>33.0</v>
      </c>
      <c r="I470" t="inlineStr">
        <is>
          <t xml:space="preserve">100% Хлопок</t>
        </is>
      </c>
      <c r="J470"/>
      <c r="K470" t="inlineStr">
        <is>
          <t xml:space="preserve">Бангладеш</t>
        </is>
      </c>
      <c r="L470" t="inlineStr">
        <is>
          <t xml:space="preserve">6110209100</t>
        </is>
      </c>
      <c r="M470" t="inlineStr">
        <is>
          <t xml:space="preserve">Декларация № ЕАЭС № BY/112 11.01. ТР017 122.01 08246, до 19.04.2028</t>
        </is>
      </c>
      <c r="N470" t="inlineStr">
        <is>
          <t xml:space="preserve">28 × 12 × 11</t>
        </is>
      </c>
      <c r="O470" t="inlineStr">
        <is>
          <t xml:space="preserve">0,51</t>
        </is>
      </c>
      <c r="P470" t="inlineStr">
        <is>
          <t xml:space="preserve">4816148185679</t>
        </is>
      </c>
      <c r="Q470" s="3" t="str">
        <f>HYPERLINK("https://modify.by/img/1543971528/1.webp","фото")</f>
        <v>фото</v>
      </c>
      <c r="R470" s="3" t="str">
        <f>HYPERLINK("https://modify.by/catalog/svitery/1543971528/?utm_source=price&amp;utm_medium=xlsx","открыть")</f>
        <v>открыть</v>
      </c>
    </row>
    <row r="471">
      <c r="A471" t="inlineStr">
        <is>
          <t xml:space="preserve">Мужской</t>
        </is>
      </c>
      <c r="B471" t="inlineStr">
        <is>
          <t xml:space="preserve">Свитеры</t>
        </is>
      </c>
      <c r="C471" t="inlineStr">
        <is>
          <t xml:space="preserve">Пуловер классический хлопковый с V-образным вырезом, серо-голубой</t>
        </is>
      </c>
      <c r="D471" t="inlineStr">
        <is>
          <t xml:space="preserve">SW62M05Серо-голубой</t>
        </is>
      </c>
      <c r="E471" t="inlineStr">
        <is>
          <t xml:space="preserve">серо-голубой</t>
        </is>
      </c>
      <c r="F471" t="inlineStr">
        <is>
          <t xml:space="preserve">50-52</t>
        </is>
      </c>
      <c r="G471">
        <v>15</v>
      </c>
      <c r="H471" s="2">
        <v>33.0</v>
      </c>
      <c r="I471" t="inlineStr">
        <is>
          <t xml:space="preserve">100% Хлопок</t>
        </is>
      </c>
      <c r="J471"/>
      <c r="K471" t="inlineStr">
        <is>
          <t xml:space="preserve">Бангладеш</t>
        </is>
      </c>
      <c r="L471" t="inlineStr">
        <is>
          <t xml:space="preserve">6110209100</t>
        </is>
      </c>
      <c r="M471" t="inlineStr">
        <is>
          <t xml:space="preserve">Декларация № ЕАЭС № BY/112 11.01. ТР017 122.01 08246, до 19.04.2028</t>
        </is>
      </c>
      <c r="N471" t="inlineStr">
        <is>
          <t xml:space="preserve">28 × 12 × 11</t>
        </is>
      </c>
      <c r="O471" t="inlineStr">
        <is>
          <t xml:space="preserve">0,51</t>
        </is>
      </c>
      <c r="P471" t="inlineStr">
        <is>
          <t xml:space="preserve">4816148185686</t>
        </is>
      </c>
      <c r="Q471" s="3" t="str">
        <f>HYPERLINK("https://modify.by/img/1543971528/1.webp","фото")</f>
        <v>фото</v>
      </c>
      <c r="R471" s="3" t="str">
        <f>HYPERLINK("https://modify.by/catalog/svitery/1543971528/?utm_source=price&amp;utm_medium=xlsx","открыть")</f>
        <v>открыть</v>
      </c>
    </row>
    <row r="472">
      <c r="A472" t="inlineStr">
        <is>
          <t xml:space="preserve">Мужской</t>
        </is>
      </c>
      <c r="B472" t="inlineStr">
        <is>
          <t xml:space="preserve">Свитеры</t>
        </is>
      </c>
      <c r="C472" t="inlineStr">
        <is>
          <t xml:space="preserve">Пуловер классический хлопковый с V-образным вырезом, серо-голубой</t>
        </is>
      </c>
      <c r="D472" t="inlineStr">
        <is>
          <t xml:space="preserve">SW62M05Серо-голубой</t>
        </is>
      </c>
      <c r="E472" t="inlineStr">
        <is>
          <t xml:space="preserve">серо-голубой</t>
        </is>
      </c>
      <c r="F472" t="inlineStr">
        <is>
          <t xml:space="preserve">52-54</t>
        </is>
      </c>
      <c r="G472">
        <v>1</v>
      </c>
      <c r="H472" s="2">
        <v>33.0</v>
      </c>
      <c r="I472" t="inlineStr">
        <is>
          <t xml:space="preserve">100% Хлопок</t>
        </is>
      </c>
      <c r="J472"/>
      <c r="K472" t="inlineStr">
        <is>
          <t xml:space="preserve">Бангладеш</t>
        </is>
      </c>
      <c r="L472" t="inlineStr">
        <is>
          <t xml:space="preserve">6110209100</t>
        </is>
      </c>
      <c r="M472" t="inlineStr">
        <is>
          <t xml:space="preserve">Декларация № ЕАЭС № BY/112 11.01. ТР017 122.01 08246, до 19.04.2028</t>
        </is>
      </c>
      <c r="N472" t="inlineStr">
        <is>
          <t xml:space="preserve">28 × 12 × 11</t>
        </is>
      </c>
      <c r="O472" t="inlineStr">
        <is>
          <t xml:space="preserve">0,51</t>
        </is>
      </c>
      <c r="P472" t="inlineStr">
        <is>
          <t xml:space="preserve">4816148185693</t>
        </is>
      </c>
      <c r="Q472" s="3" t="str">
        <f>HYPERLINK("https://modify.by/img/1543971528/1.webp","фото")</f>
        <v>фото</v>
      </c>
      <c r="R472" s="3" t="str">
        <f>HYPERLINK("https://modify.by/catalog/svitery/1543971528/?utm_source=price&amp;utm_medium=xlsx","открыть")</f>
        <v>открыть</v>
      </c>
    </row>
    <row r="473">
      <c r="A473" t="inlineStr">
        <is>
          <t xml:space="preserve">Мужской</t>
        </is>
      </c>
      <c r="B473" t="inlineStr">
        <is>
          <t xml:space="preserve">Свитеры</t>
        </is>
      </c>
      <c r="C473" t="inlineStr">
        <is>
          <t xml:space="preserve">Пуловер классический хлопковый с V-образным вырезом, серо-голубой</t>
        </is>
      </c>
      <c r="D473" t="inlineStr">
        <is>
          <t xml:space="preserve">SW62M05Серо-голубой</t>
        </is>
      </c>
      <c r="E473" t="inlineStr">
        <is>
          <t xml:space="preserve">серо-голубой</t>
        </is>
      </c>
      <c r="F473" t="inlineStr">
        <is>
          <t xml:space="preserve">54-56</t>
        </is>
      </c>
      <c r="G473">
        <v>8</v>
      </c>
      <c r="H473" s="2">
        <v>33.0</v>
      </c>
      <c r="I473" t="inlineStr">
        <is>
          <t xml:space="preserve">100% Хлопок</t>
        </is>
      </c>
      <c r="J473"/>
      <c r="K473" t="inlineStr">
        <is>
          <t xml:space="preserve">Бангладеш</t>
        </is>
      </c>
      <c r="L473" t="inlineStr">
        <is>
          <t xml:space="preserve">6110209100</t>
        </is>
      </c>
      <c r="M473" t="inlineStr">
        <is>
          <t xml:space="preserve">Декларация № ЕАЭС № BY/112 11.01. ТР017 122.01 08246, до 19.04.2028</t>
        </is>
      </c>
      <c r="N473" t="inlineStr">
        <is>
          <t xml:space="preserve">28 × 12 × 11</t>
        </is>
      </c>
      <c r="O473" t="inlineStr">
        <is>
          <t xml:space="preserve">0,51</t>
        </is>
      </c>
      <c r="P473" t="inlineStr">
        <is>
          <t xml:space="preserve">4816148185709</t>
        </is>
      </c>
      <c r="Q473" s="3" t="str">
        <f>HYPERLINK("https://modify.by/img/1543971528/1.webp","фото")</f>
        <v>фото</v>
      </c>
      <c r="R473" s="3" t="str">
        <f>HYPERLINK("https://modify.by/catalog/svitery/1543971528/?utm_source=price&amp;utm_medium=xlsx","открыть")</f>
        <v>открыть</v>
      </c>
    </row>
    <row r="474">
      <c r="A474" t="inlineStr">
        <is>
          <t xml:space="preserve">Мужской</t>
        </is>
      </c>
      <c r="B474" t="inlineStr">
        <is>
          <t xml:space="preserve">Свитеры</t>
        </is>
      </c>
      <c r="C474" t="inlineStr">
        <is>
          <t xml:space="preserve">Пуловер классический хлопковый с V-образным вырезом, серо-голубой</t>
        </is>
      </c>
      <c r="D474" t="inlineStr">
        <is>
          <t xml:space="preserve">SW62M05Серо-голубой</t>
        </is>
      </c>
      <c r="E474" t="inlineStr">
        <is>
          <t xml:space="preserve">серо-голубой</t>
        </is>
      </c>
      <c r="F474" t="inlineStr">
        <is>
          <t xml:space="preserve">56-58</t>
        </is>
      </c>
      <c r="G474">
        <v>2</v>
      </c>
      <c r="H474" s="2">
        <v>33.0</v>
      </c>
      <c r="I474" t="inlineStr">
        <is>
          <t xml:space="preserve">100% Хлопок</t>
        </is>
      </c>
      <c r="J474"/>
      <c r="K474" t="inlineStr">
        <is>
          <t xml:space="preserve">Бангладеш</t>
        </is>
      </c>
      <c r="L474" t="inlineStr">
        <is>
          <t xml:space="preserve">6110209100</t>
        </is>
      </c>
      <c r="M474" t="inlineStr">
        <is>
          <t xml:space="preserve">Декларация № ЕАЭС № BY/112 11.01. ТР017 122.01 08246, до 19.04.2028</t>
        </is>
      </c>
      <c r="N474" t="inlineStr">
        <is>
          <t xml:space="preserve">28 × 12 × 11</t>
        </is>
      </c>
      <c r="O474" t="inlineStr">
        <is>
          <t xml:space="preserve">0,51</t>
        </is>
      </c>
      <c r="P474" t="inlineStr">
        <is>
          <t xml:space="preserve">4816148185716</t>
        </is>
      </c>
      <c r="Q474" s="3" t="str">
        <f>HYPERLINK("https://modify.by/img/1543971528/1.webp","фото")</f>
        <v>фото</v>
      </c>
      <c r="R474" s="3" t="str">
        <f>HYPERLINK("https://modify.by/catalog/svitery/1543971528/?utm_source=price&amp;utm_medium=xlsx","открыть")</f>
        <v>открыть</v>
      </c>
    </row>
    <row r="475">
      <c r="A475" t="inlineStr">
        <is>
          <t xml:space="preserve">Мужской</t>
        </is>
      </c>
      <c r="B475" t="inlineStr">
        <is>
          <t xml:space="preserve">Свитеры</t>
        </is>
      </c>
      <c r="C475" t="inlineStr">
        <is>
          <t xml:space="preserve">Свитер базовый V-образный вырез хлопок, темно-синий</t>
        </is>
      </c>
      <c r="D475" t="inlineStr">
        <is>
          <t xml:space="preserve">SW42M05темно-синий</t>
        </is>
      </c>
      <c r="E475" t="inlineStr">
        <is>
          <t xml:space="preserve">темно-синий</t>
        </is>
      </c>
      <c r="F475" t="inlineStr">
        <is>
          <t xml:space="preserve">48</t>
        </is>
      </c>
      <c r="G475">
        <v>1</v>
      </c>
      <c r="H475" s="2">
        <v>28.0</v>
      </c>
      <c r="I475" t="inlineStr">
        <is>
          <t xml:space="preserve">100% хлопок</t>
        </is>
      </c>
      <c r="J475"/>
      <c r="K475" t="inlineStr">
        <is>
          <t xml:space="preserve">Бангладеш</t>
        </is>
      </c>
      <c r="L475" t="inlineStr">
        <is>
          <t xml:space="preserve">6110209100</t>
        </is>
      </c>
      <c r="M475" t="inlineStr">
        <is>
          <t xml:space="preserve">Декларация № ЕАЭС № BY/112 11.01. ТР017 122.01 08246, до 19.04.2028</t>
        </is>
      </c>
      <c r="N475" t="inlineStr">
        <is>
          <t xml:space="preserve">35 × 26 × 2</t>
        </is>
      </c>
      <c r="O475" t="inlineStr">
        <is>
          <t xml:space="preserve">0,39</t>
        </is>
      </c>
      <c r="P475" t="inlineStr">
        <is>
          <t xml:space="preserve">4816148135360</t>
        </is>
      </c>
      <c r="Q475" s="3" t="str">
        <f>HYPERLINK("https://modify.by/img/258252196/1.webp","фото")</f>
        <v>фото</v>
      </c>
      <c r="R475" s="3" t="str">
        <f>HYPERLINK("https://modify.by/catalog/svitery/258252196/?utm_source=price&amp;utm_medium=xlsx","открыть")</f>
        <v>открыть</v>
      </c>
    </row>
    <row r="476">
      <c r="A476" t="inlineStr">
        <is>
          <t xml:space="preserve">Мужской</t>
        </is>
      </c>
      <c r="B476" t="inlineStr">
        <is>
          <t xml:space="preserve">Свитеры</t>
        </is>
      </c>
      <c r="C476" t="inlineStr">
        <is>
          <t xml:space="preserve">Свитер базовый V-образный вырез хлопок, темно-синий</t>
        </is>
      </c>
      <c r="D476" t="inlineStr">
        <is>
          <t xml:space="preserve">SW42M05темно-синий</t>
        </is>
      </c>
      <c r="E476" t="inlineStr">
        <is>
          <t xml:space="preserve">темно-синий</t>
        </is>
      </c>
      <c r="F476" t="inlineStr">
        <is>
          <t xml:space="preserve">50</t>
        </is>
      </c>
      <c r="G476">
        <v>22</v>
      </c>
      <c r="H476" s="2">
        <v>28.0</v>
      </c>
      <c r="I476" t="inlineStr">
        <is>
          <t xml:space="preserve">100% хлопок</t>
        </is>
      </c>
      <c r="J476"/>
      <c r="K476" t="inlineStr">
        <is>
          <t xml:space="preserve">Бангладеш</t>
        </is>
      </c>
      <c r="L476" t="inlineStr">
        <is>
          <t xml:space="preserve">6110209100</t>
        </is>
      </c>
      <c r="M476" t="inlineStr">
        <is>
          <t xml:space="preserve">Декларация № ЕАЭС № BY/112 11.01. ТР017 122.01 08246, до 19.04.2028</t>
        </is>
      </c>
      <c r="N476" t="inlineStr">
        <is>
          <t xml:space="preserve">35 × 26 × 2</t>
        </is>
      </c>
      <c r="O476" t="inlineStr">
        <is>
          <t xml:space="preserve">0,39</t>
        </is>
      </c>
      <c r="P476" t="inlineStr">
        <is>
          <t xml:space="preserve">4816148135377</t>
        </is>
      </c>
      <c r="Q476" s="3" t="str">
        <f>HYPERLINK("https://modify.by/img/258252196/1.webp","фото")</f>
        <v>фото</v>
      </c>
      <c r="R476" s="3" t="str">
        <f>HYPERLINK("https://modify.by/catalog/svitery/258252196/?utm_source=price&amp;utm_medium=xlsx","открыть")</f>
        <v>открыть</v>
      </c>
    </row>
    <row r="477">
      <c r="A477" t="inlineStr">
        <is>
          <t xml:space="preserve">Мужской</t>
        </is>
      </c>
      <c r="B477" t="inlineStr">
        <is>
          <t xml:space="preserve">Свитеры</t>
        </is>
      </c>
      <c r="C477" t="inlineStr">
        <is>
          <t xml:space="preserve">Свитер базовый V-образный вырез хлопок, хаки</t>
        </is>
      </c>
      <c r="D477" t="inlineStr">
        <is>
          <t xml:space="preserve">SW42M05Хаки</t>
        </is>
      </c>
      <c r="E477" t="inlineStr">
        <is>
          <t xml:space="preserve">хаки</t>
        </is>
      </c>
      <c r="F477" t="inlineStr">
        <is>
          <t xml:space="preserve">50</t>
        </is>
      </c>
      <c r="G477">
        <v>39</v>
      </c>
      <c r="H477" s="2">
        <v>28.0</v>
      </c>
      <c r="I477" t="inlineStr">
        <is>
          <t xml:space="preserve">100% хлопок</t>
        </is>
      </c>
      <c r="J477"/>
      <c r="K477" t="inlineStr">
        <is>
          <t xml:space="preserve">Бангладеш</t>
        </is>
      </c>
      <c r="L477" t="inlineStr">
        <is>
          <t xml:space="preserve">6110209100</t>
        </is>
      </c>
      <c r="M477" t="inlineStr">
        <is>
          <t xml:space="preserve">Декларация № ЕАЭС № BY/112 11.01. ТР017 122.01 08246, до 19.04.2028</t>
        </is>
      </c>
      <c r="N477" t="inlineStr">
        <is>
          <t xml:space="preserve">35 × 26 × 2</t>
        </is>
      </c>
      <c r="O477" t="inlineStr">
        <is>
          <t xml:space="preserve">0,39</t>
        </is>
      </c>
      <c r="P477" t="inlineStr">
        <is>
          <t xml:space="preserve">4816148135278</t>
        </is>
      </c>
      <c r="Q477" s="3" t="str">
        <f>HYPERLINK("https://modify.by/img/258252194/1.webp","фото")</f>
        <v>фото</v>
      </c>
      <c r="R477" s="3" t="str">
        <f>HYPERLINK("https://modify.by/catalog/svitery/258252194/?utm_source=price&amp;utm_medium=xlsx","открыть")</f>
        <v>открыть</v>
      </c>
    </row>
    <row r="478">
      <c r="A478" t="inlineStr">
        <is>
          <t xml:space="preserve">Мужской</t>
        </is>
      </c>
      <c r="B478" t="inlineStr">
        <is>
          <t xml:space="preserve">Свитеры</t>
        </is>
      </c>
      <c r="C478" t="inlineStr">
        <is>
          <t xml:space="preserve">Свитер базовый с воротником на молнии, зеленый</t>
        </is>
      </c>
      <c r="D478" t="inlineStr">
        <is>
          <t xml:space="preserve">SW62M08зеленый</t>
        </is>
      </c>
      <c r="E478" t="inlineStr">
        <is>
          <t xml:space="preserve">зеленый, темно-зеленый, бутылочный, мох</t>
        </is>
      </c>
      <c r="F478" t="inlineStr">
        <is>
          <t xml:space="preserve">50</t>
        </is>
      </c>
      <c r="G478">
        <v>13</v>
      </c>
      <c r="H478" s="2">
        <v>37.0</v>
      </c>
      <c r="I478" t="inlineStr">
        <is>
          <t xml:space="preserve">50% хлопок, 50%акрил</t>
        </is>
      </c>
      <c r="J478"/>
      <c r="K478" t="inlineStr">
        <is>
          <t xml:space="preserve">Бангладеш</t>
        </is>
      </c>
      <c r="L478" t="inlineStr">
        <is>
          <t xml:space="preserve">6110309100</t>
        </is>
      </c>
      <c r="M478" t="inlineStr">
        <is>
          <t xml:space="preserve">Декларация № ЕАЭС № BY/112 11.01. ТР017 122.01 08246, до 19.04.2028</t>
        </is>
      </c>
      <c r="N478" t="inlineStr">
        <is>
          <t xml:space="preserve">40 × 30 × 4</t>
        </is>
      </c>
      <c r="O478" t="inlineStr">
        <is>
          <t xml:space="preserve">0,48</t>
        </is>
      </c>
      <c r="P478" t="inlineStr">
        <is>
          <t xml:space="preserve">4816148173317</t>
        </is>
      </c>
      <c r="Q478" s="3" t="str">
        <f>HYPERLINK("https://modify.by/img/685816469/1.webp","фото")</f>
        <v>фото</v>
      </c>
      <c r="R478" s="3" t="str">
        <f>HYPERLINK("https://modify.by/catalog/svitery/685816469/?utm_source=price&amp;utm_medium=xlsx","открыть")</f>
        <v>открыть</v>
      </c>
    </row>
    <row r="479">
      <c r="A479" t="inlineStr">
        <is>
          <t xml:space="preserve">Мужской</t>
        </is>
      </c>
      <c r="B479" t="inlineStr">
        <is>
          <t xml:space="preserve">Свитеры</t>
        </is>
      </c>
      <c r="C479" t="inlineStr">
        <is>
          <t xml:space="preserve">Свитер базовый с воротником на молнии, зеленый</t>
        </is>
      </c>
      <c r="D479" t="inlineStr">
        <is>
          <t xml:space="preserve">SW62M08зеленый</t>
        </is>
      </c>
      <c r="E479" t="inlineStr">
        <is>
          <t xml:space="preserve">зеленый, темно-зеленый, бутылочный, мох</t>
        </is>
      </c>
      <c r="F479" t="inlineStr">
        <is>
          <t xml:space="preserve">52</t>
        </is>
      </c>
      <c r="G479">
        <v>42</v>
      </c>
      <c r="H479" s="2">
        <v>37.0</v>
      </c>
      <c r="I479" t="inlineStr">
        <is>
          <t xml:space="preserve">50% хлопок, 50%акрил</t>
        </is>
      </c>
      <c r="J479"/>
      <c r="K479" t="inlineStr">
        <is>
          <t xml:space="preserve">Бангладеш</t>
        </is>
      </c>
      <c r="L479" t="inlineStr">
        <is>
          <t xml:space="preserve">6110309100</t>
        </is>
      </c>
      <c r="M479" t="inlineStr">
        <is>
          <t xml:space="preserve">Декларация № ЕАЭС № BY/112 11.01. ТР017 122.01 08246, до 19.04.2028</t>
        </is>
      </c>
      <c r="N479" t="inlineStr">
        <is>
          <t xml:space="preserve">40 × 30 × 4</t>
        </is>
      </c>
      <c r="O479" t="inlineStr">
        <is>
          <t xml:space="preserve">0,48</t>
        </is>
      </c>
      <c r="P479" t="inlineStr">
        <is>
          <t xml:space="preserve">4816148173324</t>
        </is>
      </c>
      <c r="Q479" s="3" t="str">
        <f>HYPERLINK("https://modify.by/img/685816469/1.webp","фото")</f>
        <v>фото</v>
      </c>
      <c r="R479" s="3" t="str">
        <f>HYPERLINK("https://modify.by/catalog/svitery/685816469/?utm_source=price&amp;utm_medium=xlsx","открыть")</f>
        <v>открыть</v>
      </c>
    </row>
    <row r="480">
      <c r="A480" t="inlineStr">
        <is>
          <t xml:space="preserve">Мужской</t>
        </is>
      </c>
      <c r="B480" t="inlineStr">
        <is>
          <t xml:space="preserve">Свитеры</t>
        </is>
      </c>
      <c r="C480" t="inlineStr">
        <is>
          <t xml:space="preserve">Свитер базовый с воротником на молнии, зеленый</t>
        </is>
      </c>
      <c r="D480" t="inlineStr">
        <is>
          <t xml:space="preserve">SW62M08зеленый</t>
        </is>
      </c>
      <c r="E480" t="inlineStr">
        <is>
          <t xml:space="preserve">зеленый, темно-зеленый, бутылочный, мох</t>
        </is>
      </c>
      <c r="F480" t="inlineStr">
        <is>
          <t xml:space="preserve">54</t>
        </is>
      </c>
      <c r="G480">
        <v>39</v>
      </c>
      <c r="H480" s="2">
        <v>37.0</v>
      </c>
      <c r="I480" t="inlineStr">
        <is>
          <t xml:space="preserve">50% хлопок, 50%акрил</t>
        </is>
      </c>
      <c r="J480"/>
      <c r="K480" t="inlineStr">
        <is>
          <t xml:space="preserve">Бангладеш</t>
        </is>
      </c>
      <c r="L480" t="inlineStr">
        <is>
          <t xml:space="preserve">6110309100</t>
        </is>
      </c>
      <c r="M480" t="inlineStr">
        <is>
          <t xml:space="preserve">Декларация № ЕАЭС № BY/112 11.01. ТР017 122.01 08246, до 19.04.2028</t>
        </is>
      </c>
      <c r="N480" t="inlineStr">
        <is>
          <t xml:space="preserve">40 × 30 × 4</t>
        </is>
      </c>
      <c r="O480" t="inlineStr">
        <is>
          <t xml:space="preserve">0,48</t>
        </is>
      </c>
      <c r="P480" t="inlineStr">
        <is>
          <t xml:space="preserve">4816148173331</t>
        </is>
      </c>
      <c r="Q480" s="3" t="str">
        <f>HYPERLINK("https://modify.by/img/685816469/1.webp","фото")</f>
        <v>фото</v>
      </c>
      <c r="R480" s="3" t="str">
        <f>HYPERLINK("https://modify.by/catalog/svitery/685816469/?utm_source=price&amp;utm_medium=xlsx","открыть")</f>
        <v>открыть</v>
      </c>
    </row>
    <row r="481">
      <c r="A481" t="inlineStr">
        <is>
          <t xml:space="preserve">Мужской</t>
        </is>
      </c>
      <c r="B481" t="inlineStr">
        <is>
          <t xml:space="preserve">Свитеры</t>
        </is>
      </c>
      <c r="C481" t="inlineStr">
        <is>
          <t xml:space="preserve">Свитер базовый с воротником на молнии, зеленый</t>
        </is>
      </c>
      <c r="D481" t="inlineStr">
        <is>
          <t xml:space="preserve">SW62M08зеленый</t>
        </is>
      </c>
      <c r="E481" t="inlineStr">
        <is>
          <t xml:space="preserve">зеленый, темно-зеленый, бутылочный, мох</t>
        </is>
      </c>
      <c r="F481" t="inlineStr">
        <is>
          <t xml:space="preserve">56</t>
        </is>
      </c>
      <c r="G481">
        <v>23</v>
      </c>
      <c r="H481" s="2">
        <v>37.0</v>
      </c>
      <c r="I481" t="inlineStr">
        <is>
          <t xml:space="preserve">50% хлопок, 50%акрил</t>
        </is>
      </c>
      <c r="J481"/>
      <c r="K481" t="inlineStr">
        <is>
          <t xml:space="preserve">Бангладеш</t>
        </is>
      </c>
      <c r="L481" t="inlineStr">
        <is>
          <t xml:space="preserve">6110309100</t>
        </is>
      </c>
      <c r="M481" t="inlineStr">
        <is>
          <t xml:space="preserve">Декларация № ЕАЭС № BY/112 11.01. ТР017 122.01 08246, до 19.04.2028</t>
        </is>
      </c>
      <c r="N481" t="inlineStr">
        <is>
          <t xml:space="preserve">40 × 30 × 4</t>
        </is>
      </c>
      <c r="O481" t="inlineStr">
        <is>
          <t xml:space="preserve">0,48</t>
        </is>
      </c>
      <c r="P481" t="inlineStr">
        <is>
          <t xml:space="preserve">4816148173348</t>
        </is>
      </c>
      <c r="Q481" s="3" t="str">
        <f>HYPERLINK("https://modify.by/img/685816469/1.webp","фото")</f>
        <v>фото</v>
      </c>
      <c r="R481" s="3" t="str">
        <f>HYPERLINK("https://modify.by/catalog/svitery/685816469/?utm_source=price&amp;utm_medium=xlsx","открыть")</f>
        <v>открыть</v>
      </c>
    </row>
    <row r="482">
      <c r="A482" t="inlineStr">
        <is>
          <t xml:space="preserve">Мужской</t>
        </is>
      </c>
      <c r="B482" t="inlineStr">
        <is>
          <t xml:space="preserve">Свитеры</t>
        </is>
      </c>
      <c r="C482" t="inlineStr">
        <is>
          <t xml:space="preserve">Свитер базовый с воротником на молнии, кирпичный</t>
        </is>
      </c>
      <c r="D482" t="inlineStr">
        <is>
          <t xml:space="preserve">SW62M08кирпичный</t>
        </is>
      </c>
      <c r="E482" t="inlineStr">
        <is>
          <t xml:space="preserve">кирпичный, терракотовый</t>
        </is>
      </c>
      <c r="F482" t="inlineStr">
        <is>
          <t xml:space="preserve">52</t>
        </is>
      </c>
      <c r="G482">
        <v>13</v>
      </c>
      <c r="H482" s="2">
        <v>37.0</v>
      </c>
      <c r="I482" t="inlineStr">
        <is>
          <t xml:space="preserve">50% хлопок, 50%акрил</t>
        </is>
      </c>
      <c r="J482"/>
      <c r="K482" t="inlineStr">
        <is>
          <t xml:space="preserve">Бангладеш</t>
        </is>
      </c>
      <c r="L482" t="inlineStr">
        <is>
          <t xml:space="preserve">6110309100</t>
        </is>
      </c>
      <c r="M482" t="inlineStr">
        <is>
          <t xml:space="preserve">Декларация № ЕАЭС № BY/112 11.01. ТР017 122.01 08246, до 19.04.2028</t>
        </is>
      </c>
      <c r="N482" t="inlineStr">
        <is>
          <t xml:space="preserve">40 × 30 × 4</t>
        </is>
      </c>
      <c r="O482" t="inlineStr">
        <is>
          <t xml:space="preserve">0,48</t>
        </is>
      </c>
      <c r="P482" t="inlineStr">
        <is>
          <t xml:space="preserve">4816148173270</t>
        </is>
      </c>
      <c r="Q482" s="3" t="str">
        <f>HYPERLINK("https://modify.by/img/685816468/1.webp","фото")</f>
        <v>фото</v>
      </c>
      <c r="R482" s="3" t="str">
        <f>HYPERLINK("https://modify.by/catalog/svitery/685816468/?utm_source=price&amp;utm_medium=xlsx","открыть")</f>
        <v>открыть</v>
      </c>
    </row>
    <row r="483">
      <c r="A483" t="inlineStr">
        <is>
          <t xml:space="preserve">Мужской</t>
        </is>
      </c>
      <c r="B483" t="inlineStr">
        <is>
          <t xml:space="preserve">Свитеры</t>
        </is>
      </c>
      <c r="C483" t="inlineStr">
        <is>
          <t xml:space="preserve">Свитер базовый с воротником на молнии, кирпичный</t>
        </is>
      </c>
      <c r="D483" t="inlineStr">
        <is>
          <t xml:space="preserve">SW62M08кирпичный</t>
        </is>
      </c>
      <c r="E483" t="inlineStr">
        <is>
          <t xml:space="preserve">кирпичный, терракотовый</t>
        </is>
      </c>
      <c r="F483" t="inlineStr">
        <is>
          <t xml:space="preserve">54</t>
        </is>
      </c>
      <c r="G483">
        <v>6</v>
      </c>
      <c r="H483" s="2">
        <v>37.0</v>
      </c>
      <c r="I483" t="inlineStr">
        <is>
          <t xml:space="preserve">50% хлопок, 50%акрил</t>
        </is>
      </c>
      <c r="J483"/>
      <c r="K483" t="inlineStr">
        <is>
          <t xml:space="preserve">Бангладеш</t>
        </is>
      </c>
      <c r="L483" t="inlineStr">
        <is>
          <t xml:space="preserve">6110309100</t>
        </is>
      </c>
      <c r="M483" t="inlineStr">
        <is>
          <t xml:space="preserve">Декларация № ЕАЭС № BY/112 11.01. ТР017 122.01 08246, до 19.04.2028</t>
        </is>
      </c>
      <c r="N483" t="inlineStr">
        <is>
          <t xml:space="preserve">40 × 30 × 4</t>
        </is>
      </c>
      <c r="O483" t="inlineStr">
        <is>
          <t xml:space="preserve">0,48</t>
        </is>
      </c>
      <c r="P483" t="inlineStr">
        <is>
          <t xml:space="preserve">4816148173287</t>
        </is>
      </c>
      <c r="Q483" s="3" t="str">
        <f>HYPERLINK("https://modify.by/img/685816468/1.webp","фото")</f>
        <v>фото</v>
      </c>
      <c r="R483" s="3" t="str">
        <f>HYPERLINK("https://modify.by/catalog/svitery/685816468/?utm_source=price&amp;utm_medium=xlsx","открыть")</f>
        <v>открыть</v>
      </c>
    </row>
    <row r="484">
      <c r="A484" t="inlineStr">
        <is>
          <t xml:space="preserve">Мужской</t>
        </is>
      </c>
      <c r="B484" t="inlineStr">
        <is>
          <t xml:space="preserve">Свитеры</t>
        </is>
      </c>
      <c r="C484" t="inlineStr">
        <is>
          <t xml:space="preserve">Свитер базовый с воротником на молнии, оливковый</t>
        </is>
      </c>
      <c r="D484" t="inlineStr">
        <is>
          <t xml:space="preserve">SW62M08оливковый</t>
        </is>
      </c>
      <c r="E484" t="inlineStr">
        <is>
          <t xml:space="preserve">оливковый</t>
        </is>
      </c>
      <c r="F484" t="inlineStr">
        <is>
          <t xml:space="preserve">50</t>
        </is>
      </c>
      <c r="G484">
        <v>11</v>
      </c>
      <c r="H484" s="2">
        <v>37.0</v>
      </c>
      <c r="I484" t="inlineStr">
        <is>
          <t xml:space="preserve">50% хлопок, 50%акрил</t>
        </is>
      </c>
      <c r="J484"/>
      <c r="K484" t="inlineStr">
        <is>
          <t xml:space="preserve">Бангладеш</t>
        </is>
      </c>
      <c r="L484" t="inlineStr">
        <is>
          <t xml:space="preserve">6110309100</t>
        </is>
      </c>
      <c r="M484" t="inlineStr">
        <is>
          <t xml:space="preserve">Декларация № ЕАЭС № BY/112 11.01. ТР017 122.01 08246, до 19.04.2028</t>
        </is>
      </c>
      <c r="N484" t="inlineStr">
        <is>
          <t xml:space="preserve">40 × 30 × 4</t>
        </is>
      </c>
      <c r="O484" t="inlineStr">
        <is>
          <t xml:space="preserve">0,48</t>
        </is>
      </c>
      <c r="P484" t="inlineStr">
        <is>
          <t xml:space="preserve">4816148173416</t>
        </is>
      </c>
      <c r="Q484" s="3" t="str">
        <f>HYPERLINK("https://modify.by/img/685816471/1.webp","фото")</f>
        <v>фото</v>
      </c>
      <c r="R484" s="3" t="str">
        <f>HYPERLINK("https://modify.by/catalog/svitery/685816471/?utm_source=price&amp;utm_medium=xlsx","открыть")</f>
        <v>открыть</v>
      </c>
    </row>
    <row r="485">
      <c r="A485" t="inlineStr">
        <is>
          <t xml:space="preserve">Мужской</t>
        </is>
      </c>
      <c r="B485" t="inlineStr">
        <is>
          <t xml:space="preserve">Свитеры</t>
        </is>
      </c>
      <c r="C485" t="inlineStr">
        <is>
          <t xml:space="preserve">Свитер базовый с воротником на молнии, оливковый</t>
        </is>
      </c>
      <c r="D485" t="inlineStr">
        <is>
          <t xml:space="preserve">SW62M08оливковый</t>
        </is>
      </c>
      <c r="E485" t="inlineStr">
        <is>
          <t xml:space="preserve">оливковый</t>
        </is>
      </c>
      <c r="F485" t="inlineStr">
        <is>
          <t xml:space="preserve">52</t>
        </is>
      </c>
      <c r="G485">
        <v>23</v>
      </c>
      <c r="H485" s="2">
        <v>37.0</v>
      </c>
      <c r="I485" t="inlineStr">
        <is>
          <t xml:space="preserve">50% хлопок, 50%акрил</t>
        </is>
      </c>
      <c r="J485"/>
      <c r="K485" t="inlineStr">
        <is>
          <t xml:space="preserve">Бангладеш</t>
        </is>
      </c>
      <c r="L485" t="inlineStr">
        <is>
          <t xml:space="preserve">6110309100</t>
        </is>
      </c>
      <c r="M485" t="inlineStr">
        <is>
          <t xml:space="preserve">Декларация № ЕАЭС № BY/112 11.01. ТР017 122.01 08246, до 19.04.2028</t>
        </is>
      </c>
      <c r="N485" t="inlineStr">
        <is>
          <t xml:space="preserve">40 × 30 × 4</t>
        </is>
      </c>
      <c r="O485" t="inlineStr">
        <is>
          <t xml:space="preserve">0,48</t>
        </is>
      </c>
      <c r="P485" t="inlineStr">
        <is>
          <t xml:space="preserve">4816148173423</t>
        </is>
      </c>
      <c r="Q485" s="3" t="str">
        <f>HYPERLINK("https://modify.by/img/685816471/1.webp","фото")</f>
        <v>фото</v>
      </c>
      <c r="R485" s="3" t="str">
        <f>HYPERLINK("https://modify.by/catalog/svitery/685816471/?utm_source=price&amp;utm_medium=xlsx","открыть")</f>
        <v>открыть</v>
      </c>
    </row>
    <row r="486">
      <c r="A486" t="inlineStr">
        <is>
          <t xml:space="preserve">Мужской</t>
        </is>
      </c>
      <c r="B486" t="inlineStr">
        <is>
          <t xml:space="preserve">Свитеры</t>
        </is>
      </c>
      <c r="C486" t="inlineStr">
        <is>
          <t xml:space="preserve">Свитер базовый с воротником на молнии, оливковый</t>
        </is>
      </c>
      <c r="D486" t="inlineStr">
        <is>
          <t xml:space="preserve">SW62M08оливковый</t>
        </is>
      </c>
      <c r="E486" t="inlineStr">
        <is>
          <t xml:space="preserve">оливковый</t>
        </is>
      </c>
      <c r="F486" t="inlineStr">
        <is>
          <t xml:space="preserve">54</t>
        </is>
      </c>
      <c r="G486">
        <v>41</v>
      </c>
      <c r="H486" s="2">
        <v>37.0</v>
      </c>
      <c r="I486" t="inlineStr">
        <is>
          <t xml:space="preserve">50% хлопок, 50%акрил</t>
        </is>
      </c>
      <c r="J486"/>
      <c r="K486" t="inlineStr">
        <is>
          <t xml:space="preserve">Бангладеш</t>
        </is>
      </c>
      <c r="L486" t="inlineStr">
        <is>
          <t xml:space="preserve">6110309100</t>
        </is>
      </c>
      <c r="M486" t="inlineStr">
        <is>
          <t xml:space="preserve">Декларация № ЕАЭС № BY/112 11.01. ТР017 122.01 08246, до 19.04.2028</t>
        </is>
      </c>
      <c r="N486" t="inlineStr">
        <is>
          <t xml:space="preserve">40 × 30 × 4</t>
        </is>
      </c>
      <c r="O486" t="inlineStr">
        <is>
          <t xml:space="preserve">0,48</t>
        </is>
      </c>
      <c r="P486" t="inlineStr">
        <is>
          <t xml:space="preserve">4816148173430</t>
        </is>
      </c>
      <c r="Q486" s="3" t="str">
        <f>HYPERLINK("https://modify.by/img/685816471/1.webp","фото")</f>
        <v>фото</v>
      </c>
      <c r="R486" s="3" t="str">
        <f>HYPERLINK("https://modify.by/catalog/svitery/685816471/?utm_source=price&amp;utm_medium=xlsx","открыть")</f>
        <v>открыть</v>
      </c>
    </row>
    <row r="487">
      <c r="A487" t="inlineStr">
        <is>
          <t xml:space="preserve">Мужской</t>
        </is>
      </c>
      <c r="B487" t="inlineStr">
        <is>
          <t xml:space="preserve">Свитеры</t>
        </is>
      </c>
      <c r="C487" t="inlineStr">
        <is>
          <t xml:space="preserve">Свитер базовый с воротником на молнии, оливковый</t>
        </is>
      </c>
      <c r="D487" t="inlineStr">
        <is>
          <t xml:space="preserve">SW62M08оливковый</t>
        </is>
      </c>
      <c r="E487" t="inlineStr">
        <is>
          <t xml:space="preserve">оливковый</t>
        </is>
      </c>
      <c r="F487" t="inlineStr">
        <is>
          <t xml:space="preserve">56</t>
        </is>
      </c>
      <c r="G487">
        <v>17</v>
      </c>
      <c r="H487" s="2">
        <v>37.0</v>
      </c>
      <c r="I487" t="inlineStr">
        <is>
          <t xml:space="preserve">50% хлопок, 50%акрил</t>
        </is>
      </c>
      <c r="J487"/>
      <c r="K487" t="inlineStr">
        <is>
          <t xml:space="preserve">Бангладеш</t>
        </is>
      </c>
      <c r="L487" t="inlineStr">
        <is>
          <t xml:space="preserve">6110309100</t>
        </is>
      </c>
      <c r="M487" t="inlineStr">
        <is>
          <t xml:space="preserve">Декларация № ЕАЭС № BY/112 11.01. ТР017 122.01 08246, до 19.04.2028</t>
        </is>
      </c>
      <c r="N487" t="inlineStr">
        <is>
          <t xml:space="preserve">40 × 30 × 4</t>
        </is>
      </c>
      <c r="O487" t="inlineStr">
        <is>
          <t xml:space="preserve">0,48</t>
        </is>
      </c>
      <c r="P487" t="inlineStr">
        <is>
          <t xml:space="preserve">4816148173447</t>
        </is>
      </c>
      <c r="Q487" s="3" t="str">
        <f>HYPERLINK("https://modify.by/img/685816471/1.webp","фото")</f>
        <v>фото</v>
      </c>
      <c r="R487" s="3" t="str">
        <f>HYPERLINK("https://modify.by/catalog/svitery/685816471/?utm_source=price&amp;utm_medium=xlsx","открыть")</f>
        <v>открыть</v>
      </c>
    </row>
    <row r="488">
      <c r="A488" t="inlineStr">
        <is>
          <t xml:space="preserve">Мужской</t>
        </is>
      </c>
      <c r="B488" t="inlineStr">
        <is>
          <t xml:space="preserve">Свитеры</t>
        </is>
      </c>
      <c r="C488" t="inlineStr">
        <is>
          <t xml:space="preserve">Свитер базовый с воротником на молнии, оливковый</t>
        </is>
      </c>
      <c r="D488" t="inlineStr">
        <is>
          <t xml:space="preserve">SW62M08оливковый</t>
        </is>
      </c>
      <c r="E488" t="inlineStr">
        <is>
          <t xml:space="preserve">оливковый</t>
        </is>
      </c>
      <c r="F488" t="inlineStr">
        <is>
          <t xml:space="preserve">58</t>
        </is>
      </c>
      <c r="G488">
        <v>1</v>
      </c>
      <c r="H488" s="2">
        <v>37.0</v>
      </c>
      <c r="I488" t="inlineStr">
        <is>
          <t xml:space="preserve">50% хлопок, 50%акрил</t>
        </is>
      </c>
      <c r="J488"/>
      <c r="K488" t="inlineStr">
        <is>
          <t xml:space="preserve">Бангладеш</t>
        </is>
      </c>
      <c r="L488" t="inlineStr">
        <is>
          <t xml:space="preserve">6110309100</t>
        </is>
      </c>
      <c r="M488" t="inlineStr">
        <is>
          <t xml:space="preserve">Декларация № ЕАЭС № BY/112 11.01. ТР017 122.01 08246, до 19.04.2028</t>
        </is>
      </c>
      <c r="N488" t="inlineStr">
        <is>
          <t xml:space="preserve">40 × 30 × 4</t>
        </is>
      </c>
      <c r="O488" t="inlineStr">
        <is>
          <t xml:space="preserve">0,48</t>
        </is>
      </c>
      <c r="P488" t="inlineStr">
        <is>
          <t xml:space="preserve">4816148173454</t>
        </is>
      </c>
      <c r="Q488" s="3" t="str">
        <f>HYPERLINK("https://modify.by/img/685816471/1.webp","фото")</f>
        <v>фото</v>
      </c>
      <c r="R488" s="3" t="str">
        <f>HYPERLINK("https://modify.by/catalog/svitery/685816471/?utm_source=price&amp;utm_medium=xlsx","открыть")</f>
        <v>открыть</v>
      </c>
    </row>
    <row r="489">
      <c r="A489" t="inlineStr">
        <is>
          <t xml:space="preserve">Мужской</t>
        </is>
      </c>
      <c r="B489" t="inlineStr">
        <is>
          <t xml:space="preserve">Свитеры</t>
        </is>
      </c>
      <c r="C489" t="inlineStr">
        <is>
          <t xml:space="preserve">Свитер базовый с воротником на молнии, серый</t>
        </is>
      </c>
      <c r="D489" t="inlineStr">
        <is>
          <t xml:space="preserve">SW62M08серый</t>
        </is>
      </c>
      <c r="E489" t="inlineStr">
        <is>
          <t xml:space="preserve">серый</t>
        </is>
      </c>
      <c r="F489" t="inlineStr">
        <is>
          <t xml:space="preserve">50</t>
        </is>
      </c>
      <c r="G489">
        <v>8</v>
      </c>
      <c r="H489" s="2">
        <v>37.0</v>
      </c>
      <c r="I489" t="inlineStr">
        <is>
          <t xml:space="preserve">50% хлопок, 50%акрил</t>
        </is>
      </c>
      <c r="J489"/>
      <c r="K489" t="inlineStr">
        <is>
          <t xml:space="preserve">Бангладеш</t>
        </is>
      </c>
      <c r="L489" t="inlineStr">
        <is>
          <t xml:space="preserve">6110309100</t>
        </is>
      </c>
      <c r="M489" t="inlineStr">
        <is>
          <t xml:space="preserve">Декларация № ЕАЭС № BY/112 11.01. ТР017 122.01 08246, до 19.04.2028</t>
        </is>
      </c>
      <c r="N489" t="inlineStr">
        <is>
          <t xml:space="preserve">40 × 30 × 4</t>
        </is>
      </c>
      <c r="O489" t="inlineStr">
        <is>
          <t xml:space="preserve">0,48</t>
        </is>
      </c>
      <c r="P489" t="inlineStr">
        <is>
          <t xml:space="preserve">4816148173362</t>
        </is>
      </c>
      <c r="Q489" s="3" t="str">
        <f>HYPERLINK("https://modify.by/img/685816470/1.webp","фото")</f>
        <v>фото</v>
      </c>
      <c r="R489" s="3" t="str">
        <f>HYPERLINK("https://modify.by/catalog/svitery/685816470/?utm_source=price&amp;utm_medium=xlsx","открыть")</f>
        <v>открыть</v>
      </c>
    </row>
    <row r="490">
      <c r="A490" t="inlineStr">
        <is>
          <t xml:space="preserve">Мужской</t>
        </is>
      </c>
      <c r="B490" t="inlineStr">
        <is>
          <t xml:space="preserve">Свитеры</t>
        </is>
      </c>
      <c r="C490" t="inlineStr">
        <is>
          <t xml:space="preserve">Свитер базовый с воротником на молнии, серый</t>
        </is>
      </c>
      <c r="D490" t="inlineStr">
        <is>
          <t xml:space="preserve">SW62M08серый</t>
        </is>
      </c>
      <c r="E490" t="inlineStr">
        <is>
          <t xml:space="preserve">серый</t>
        </is>
      </c>
      <c r="F490" t="inlineStr">
        <is>
          <t xml:space="preserve">52</t>
        </is>
      </c>
      <c r="G490">
        <v>32</v>
      </c>
      <c r="H490" s="2">
        <v>37.0</v>
      </c>
      <c r="I490" t="inlineStr">
        <is>
          <t xml:space="preserve">50% хлопок, 50%акрил</t>
        </is>
      </c>
      <c r="J490"/>
      <c r="K490" t="inlineStr">
        <is>
          <t xml:space="preserve">Бангладеш</t>
        </is>
      </c>
      <c r="L490" t="inlineStr">
        <is>
          <t xml:space="preserve">6110309100</t>
        </is>
      </c>
      <c r="M490" t="inlineStr">
        <is>
          <t xml:space="preserve">Декларация № ЕАЭС № BY/112 11.01. ТР017 122.01 08246, до 19.04.2028</t>
        </is>
      </c>
      <c r="N490" t="inlineStr">
        <is>
          <t xml:space="preserve">40 × 30 × 4</t>
        </is>
      </c>
      <c r="O490" t="inlineStr">
        <is>
          <t xml:space="preserve">0,48</t>
        </is>
      </c>
      <c r="P490" t="inlineStr">
        <is>
          <t xml:space="preserve">4816148173379</t>
        </is>
      </c>
      <c r="Q490" s="3" t="str">
        <f>HYPERLINK("https://modify.by/img/685816470/1.webp","фото")</f>
        <v>фото</v>
      </c>
      <c r="R490" s="3" t="str">
        <f>HYPERLINK("https://modify.by/catalog/svitery/685816470/?utm_source=price&amp;utm_medium=xlsx","открыть")</f>
        <v>открыть</v>
      </c>
    </row>
    <row r="491">
      <c r="A491" t="inlineStr">
        <is>
          <t xml:space="preserve">Мужской</t>
        </is>
      </c>
      <c r="B491" t="inlineStr">
        <is>
          <t xml:space="preserve">Свитеры</t>
        </is>
      </c>
      <c r="C491" t="inlineStr">
        <is>
          <t xml:space="preserve">Свитер базовый с воротником на молнии, серый</t>
        </is>
      </c>
      <c r="D491" t="inlineStr">
        <is>
          <t xml:space="preserve">SW62M08серый</t>
        </is>
      </c>
      <c r="E491" t="inlineStr">
        <is>
          <t xml:space="preserve">серый</t>
        </is>
      </c>
      <c r="F491" t="inlineStr">
        <is>
          <t xml:space="preserve">54</t>
        </is>
      </c>
      <c r="G491">
        <v>27</v>
      </c>
      <c r="H491" s="2">
        <v>37.0</v>
      </c>
      <c r="I491" t="inlineStr">
        <is>
          <t xml:space="preserve">50% хлопок, 50%акрил</t>
        </is>
      </c>
      <c r="J491"/>
      <c r="K491" t="inlineStr">
        <is>
          <t xml:space="preserve">Бангладеш</t>
        </is>
      </c>
      <c r="L491" t="inlineStr">
        <is>
          <t xml:space="preserve">6110309100</t>
        </is>
      </c>
      <c r="M491" t="inlineStr">
        <is>
          <t xml:space="preserve">Декларация № ЕАЭС № BY/112 11.01. ТР017 122.01 08246, до 19.04.2028</t>
        </is>
      </c>
      <c r="N491" t="inlineStr">
        <is>
          <t xml:space="preserve">40 × 30 × 4</t>
        </is>
      </c>
      <c r="O491" t="inlineStr">
        <is>
          <t xml:space="preserve">0,48</t>
        </is>
      </c>
      <c r="P491" t="inlineStr">
        <is>
          <t xml:space="preserve">4816148173386</t>
        </is>
      </c>
      <c r="Q491" s="3" t="str">
        <f>HYPERLINK("https://modify.by/img/685816470/1.webp","фото")</f>
        <v>фото</v>
      </c>
      <c r="R491" s="3" t="str">
        <f>HYPERLINK("https://modify.by/catalog/svitery/685816470/?utm_source=price&amp;utm_medium=xlsx","открыть")</f>
        <v>открыть</v>
      </c>
    </row>
    <row r="492">
      <c r="A492" t="inlineStr">
        <is>
          <t xml:space="preserve">Мужской</t>
        </is>
      </c>
      <c r="B492" t="inlineStr">
        <is>
          <t xml:space="preserve">Свитеры</t>
        </is>
      </c>
      <c r="C492" t="inlineStr">
        <is>
          <t xml:space="preserve">Свитер базовый с воротником на молнии, серый</t>
        </is>
      </c>
      <c r="D492" t="inlineStr">
        <is>
          <t xml:space="preserve">SW62M08серый</t>
        </is>
      </c>
      <c r="E492" t="inlineStr">
        <is>
          <t xml:space="preserve">серый</t>
        </is>
      </c>
      <c r="F492" t="inlineStr">
        <is>
          <t xml:space="preserve">56</t>
        </is>
      </c>
      <c r="G492">
        <v>17</v>
      </c>
      <c r="H492" s="2">
        <v>37.0</v>
      </c>
      <c r="I492" t="inlineStr">
        <is>
          <t xml:space="preserve">50% хлопок, 50%акрил</t>
        </is>
      </c>
      <c r="J492"/>
      <c r="K492" t="inlineStr">
        <is>
          <t xml:space="preserve">Бангладеш</t>
        </is>
      </c>
      <c r="L492" t="inlineStr">
        <is>
          <t xml:space="preserve">6110309100</t>
        </is>
      </c>
      <c r="M492" t="inlineStr">
        <is>
          <t xml:space="preserve">Декларация № ЕАЭС № BY/112 11.01. ТР017 122.01 08246, до 19.04.2028</t>
        </is>
      </c>
      <c r="N492" t="inlineStr">
        <is>
          <t xml:space="preserve">40 × 30 × 4</t>
        </is>
      </c>
      <c r="O492" t="inlineStr">
        <is>
          <t xml:space="preserve">0,48</t>
        </is>
      </c>
      <c r="P492" t="inlineStr">
        <is>
          <t xml:space="preserve">4816148173393</t>
        </is>
      </c>
      <c r="Q492" s="3" t="str">
        <f>HYPERLINK("https://modify.by/img/685816470/1.webp","фото")</f>
        <v>фото</v>
      </c>
      <c r="R492" s="3" t="str">
        <f>HYPERLINK("https://modify.by/catalog/svitery/685816470/?utm_source=price&amp;utm_medium=xlsx","открыть")</f>
        <v>открыть</v>
      </c>
    </row>
    <row r="493">
      <c r="A493" t="inlineStr">
        <is>
          <t xml:space="preserve">Мужской</t>
        </is>
      </c>
      <c r="B493" t="inlineStr">
        <is>
          <t xml:space="preserve">Свитеры</t>
        </is>
      </c>
      <c r="C493" t="inlineStr">
        <is>
          <t xml:space="preserve">Свитер базовый с воротником на молнии, черный</t>
        </is>
      </c>
      <c r="D493" t="inlineStr">
        <is>
          <t xml:space="preserve">SW62M08черный</t>
        </is>
      </c>
      <c r="E493" t="inlineStr">
        <is>
          <t xml:space="preserve">черный</t>
        </is>
      </c>
      <c r="F493" t="inlineStr">
        <is>
          <t xml:space="preserve">50</t>
        </is>
      </c>
      <c r="G493">
        <v>35</v>
      </c>
      <c r="H493" s="2">
        <v>37.0</v>
      </c>
      <c r="I493" t="inlineStr">
        <is>
          <t xml:space="preserve">50% хлопок, 50%акрил</t>
        </is>
      </c>
      <c r="J493"/>
      <c r="K493" t="inlineStr">
        <is>
          <t xml:space="preserve">Бангладеш</t>
        </is>
      </c>
      <c r="L493" t="inlineStr">
        <is>
          <t xml:space="preserve">6110309100</t>
        </is>
      </c>
      <c r="M493" t="inlineStr">
        <is>
          <t xml:space="preserve">Декларация № ЕАЭС № BY/112 11.01. ТР017 122.01 08246, до 19.04.2028</t>
        </is>
      </c>
      <c r="N493" t="inlineStr">
        <is>
          <t xml:space="preserve">40 × 30 × 4</t>
        </is>
      </c>
      <c r="O493" t="inlineStr">
        <is>
          <t xml:space="preserve">0,48</t>
        </is>
      </c>
      <c r="P493" t="inlineStr">
        <is>
          <t xml:space="preserve">4816148173164</t>
        </is>
      </c>
      <c r="Q493" s="3" t="str">
        <f>HYPERLINK("https://modify.by/img/685816466/1.webp","фото")</f>
        <v>фото</v>
      </c>
      <c r="R493" s="3" t="str">
        <f>HYPERLINK("https://modify.by/catalog/svitery/685816466/?utm_source=price&amp;utm_medium=xlsx","открыть")</f>
        <v>открыть</v>
      </c>
    </row>
    <row r="494">
      <c r="A494" t="inlineStr">
        <is>
          <t xml:space="preserve">Мужской</t>
        </is>
      </c>
      <c r="B494" t="inlineStr">
        <is>
          <t xml:space="preserve">Свитеры</t>
        </is>
      </c>
      <c r="C494" t="inlineStr">
        <is>
          <t xml:space="preserve">Свитер базовый с воротником на молнии, черный</t>
        </is>
      </c>
      <c r="D494" t="inlineStr">
        <is>
          <t xml:space="preserve">SW62M08черный</t>
        </is>
      </c>
      <c r="E494" t="inlineStr">
        <is>
          <t xml:space="preserve">черный</t>
        </is>
      </c>
      <c r="F494" t="inlineStr">
        <is>
          <t xml:space="preserve">52</t>
        </is>
      </c>
      <c r="G494">
        <v>72</v>
      </c>
      <c r="H494" s="2">
        <v>37.0</v>
      </c>
      <c r="I494" t="inlineStr">
        <is>
          <t xml:space="preserve">50% хлопок, 50%акрил</t>
        </is>
      </c>
      <c r="J494"/>
      <c r="K494" t="inlineStr">
        <is>
          <t xml:space="preserve">Бангладеш</t>
        </is>
      </c>
      <c r="L494" t="inlineStr">
        <is>
          <t xml:space="preserve">6110309100</t>
        </is>
      </c>
      <c r="M494" t="inlineStr">
        <is>
          <t xml:space="preserve">Декларация № ЕАЭС № BY/112 11.01. ТР017 122.01 08246, до 19.04.2028</t>
        </is>
      </c>
      <c r="N494" t="inlineStr">
        <is>
          <t xml:space="preserve">40 × 30 × 4</t>
        </is>
      </c>
      <c r="O494" t="inlineStr">
        <is>
          <t xml:space="preserve">0,48</t>
        </is>
      </c>
      <c r="P494" t="inlineStr">
        <is>
          <t xml:space="preserve">4816148173171</t>
        </is>
      </c>
      <c r="Q494" s="3" t="str">
        <f>HYPERLINK("https://modify.by/img/685816466/1.webp","фото")</f>
        <v>фото</v>
      </c>
      <c r="R494" s="3" t="str">
        <f>HYPERLINK("https://modify.by/catalog/svitery/685816466/?utm_source=price&amp;utm_medium=xlsx","открыть")</f>
        <v>открыть</v>
      </c>
    </row>
    <row r="495">
      <c r="A495" t="inlineStr">
        <is>
          <t xml:space="preserve">Мужской</t>
        </is>
      </c>
      <c r="B495" t="inlineStr">
        <is>
          <t xml:space="preserve">Свитеры</t>
        </is>
      </c>
      <c r="C495" t="inlineStr">
        <is>
          <t xml:space="preserve">Свитер базовый с воротником на молнии, черный</t>
        </is>
      </c>
      <c r="D495" t="inlineStr">
        <is>
          <t xml:space="preserve">SW62M08черный</t>
        </is>
      </c>
      <c r="E495" t="inlineStr">
        <is>
          <t xml:space="preserve">черный</t>
        </is>
      </c>
      <c r="F495" t="inlineStr">
        <is>
          <t xml:space="preserve">54</t>
        </is>
      </c>
      <c r="G495">
        <v>35</v>
      </c>
      <c r="H495" s="2">
        <v>37.0</v>
      </c>
      <c r="I495" t="inlineStr">
        <is>
          <t xml:space="preserve">50% хлопок, 50%акрил</t>
        </is>
      </c>
      <c r="J495"/>
      <c r="K495" t="inlineStr">
        <is>
          <t xml:space="preserve">Бангладеш</t>
        </is>
      </c>
      <c r="L495" t="inlineStr">
        <is>
          <t xml:space="preserve">6110309100</t>
        </is>
      </c>
      <c r="M495" t="inlineStr">
        <is>
          <t xml:space="preserve">Декларация № ЕАЭС № BY/112 11.01. ТР017 122.01 08246, до 19.04.2028</t>
        </is>
      </c>
      <c r="N495" t="inlineStr">
        <is>
          <t xml:space="preserve">40 × 30 × 4</t>
        </is>
      </c>
      <c r="O495" t="inlineStr">
        <is>
          <t xml:space="preserve">0,48</t>
        </is>
      </c>
      <c r="P495" t="inlineStr">
        <is>
          <t xml:space="preserve">4816148173188</t>
        </is>
      </c>
      <c r="Q495" s="3" t="str">
        <f>HYPERLINK("https://modify.by/img/685816466/1.webp","фото")</f>
        <v>фото</v>
      </c>
      <c r="R495" s="3" t="str">
        <f>HYPERLINK("https://modify.by/catalog/svitery/685816466/?utm_source=price&amp;utm_medium=xlsx","открыть")</f>
        <v>открыть</v>
      </c>
    </row>
    <row r="496">
      <c r="A496" t="inlineStr">
        <is>
          <t xml:space="preserve">Мужской</t>
        </is>
      </c>
      <c r="B496" t="inlineStr">
        <is>
          <t xml:space="preserve">Свитеры</t>
        </is>
      </c>
      <c r="C496" t="inlineStr">
        <is>
          <t xml:space="preserve">Свитер базовый с воротником на молнии, черный</t>
        </is>
      </c>
      <c r="D496" t="inlineStr">
        <is>
          <t xml:space="preserve">SW62M08черный</t>
        </is>
      </c>
      <c r="E496" t="inlineStr">
        <is>
          <t xml:space="preserve">черный</t>
        </is>
      </c>
      <c r="F496" t="inlineStr">
        <is>
          <t xml:space="preserve">56</t>
        </is>
      </c>
      <c r="G496">
        <v>7</v>
      </c>
      <c r="H496" s="2">
        <v>37.0</v>
      </c>
      <c r="I496" t="inlineStr">
        <is>
          <t xml:space="preserve">50% хлопок, 50%акрил</t>
        </is>
      </c>
      <c r="J496"/>
      <c r="K496" t="inlineStr">
        <is>
          <t xml:space="preserve">Бангладеш</t>
        </is>
      </c>
      <c r="L496" t="inlineStr">
        <is>
          <t xml:space="preserve">6110309100</t>
        </is>
      </c>
      <c r="M496" t="inlineStr">
        <is>
          <t xml:space="preserve">Декларация № ЕАЭС № BY/112 11.01. ТР017 122.01 08246, до 19.04.2028</t>
        </is>
      </c>
      <c r="N496" t="inlineStr">
        <is>
          <t xml:space="preserve">40 × 30 × 4</t>
        </is>
      </c>
      <c r="O496" t="inlineStr">
        <is>
          <t xml:space="preserve">0,48</t>
        </is>
      </c>
      <c r="P496" t="inlineStr">
        <is>
          <t xml:space="preserve">4816148173195</t>
        </is>
      </c>
      <c r="Q496" s="3" t="str">
        <f>HYPERLINK("https://modify.by/img/685816466/1.webp","фото")</f>
        <v>фото</v>
      </c>
      <c r="R496" s="3" t="str">
        <f>HYPERLINK("https://modify.by/catalog/svitery/685816466/?utm_source=price&amp;utm_medium=xlsx","открыть")</f>
        <v>открыть</v>
      </c>
    </row>
    <row r="497">
      <c r="A497" t="inlineStr">
        <is>
          <t xml:space="preserve">Мужской</t>
        </is>
      </c>
      <c r="B497" t="inlineStr">
        <is>
          <t xml:space="preserve">Свитеры</t>
        </is>
      </c>
      <c r="C497" t="inlineStr">
        <is>
          <t xml:space="preserve">Свитер базовый теплый оверсайз вязаный хлопковый</t>
        </is>
      </c>
      <c r="D497" t="inlineStr">
        <is>
          <t xml:space="preserve">SW42M03светло-коричневый</t>
        </is>
      </c>
      <c r="E497" t="inlineStr">
        <is>
          <t xml:space="preserve">светло-коричневый</t>
        </is>
      </c>
      <c r="F497" t="inlineStr">
        <is>
          <t xml:space="preserve">44/188</t>
        </is>
      </c>
      <c r="G497">
        <v>1</v>
      </c>
      <c r="H497" s="2">
        <v>32.0</v>
      </c>
      <c r="I497" t="inlineStr">
        <is>
          <t xml:space="preserve">50%хлопок, 50% акрил</t>
        </is>
      </c>
      <c r="J497"/>
      <c r="K497" t="inlineStr">
        <is>
          <t xml:space="preserve">Бангладеш</t>
        </is>
      </c>
      <c r="L497" t="inlineStr">
        <is>
          <t xml:space="preserve">6110209100</t>
        </is>
      </c>
      <c r="M497" t="inlineStr">
        <is>
          <t xml:space="preserve">Декларация № ЕАЭС № BY/112 11.01. ТР017 122.01 08246, до 19.04.2028</t>
        </is>
      </c>
      <c r="N497" t="inlineStr">
        <is>
          <t xml:space="preserve">35 × 25 × 3</t>
        </is>
      </c>
      <c r="O497" t="inlineStr">
        <is>
          <t xml:space="preserve">0,44</t>
        </is>
      </c>
      <c r="P497" t="inlineStr">
        <is>
          <t xml:space="preserve">4816148138095</t>
        </is>
      </c>
      <c r="Q497" s="3" t="str">
        <f>HYPERLINK("https://modify.by/img/258242627/1.webp","фото")</f>
        <v>фото</v>
      </c>
      <c r="R497" s="3" t="str">
        <f>HYPERLINK("https://modify.by/catalog/svitery/258242627/?utm_source=price&amp;utm_medium=xlsx","открыть")</f>
        <v>открыть</v>
      </c>
    </row>
    <row r="498">
      <c r="A498" t="inlineStr">
        <is>
          <t xml:space="preserve">Мужской</t>
        </is>
      </c>
      <c r="B498" t="inlineStr">
        <is>
          <t xml:space="preserve">Свитеры</t>
        </is>
      </c>
      <c r="C498" t="inlineStr">
        <is>
          <t xml:space="preserve">Свитер базовый теплый оверсайз вязаный хлопковый</t>
        </is>
      </c>
      <c r="D498" t="inlineStr">
        <is>
          <t xml:space="preserve">SW42M03светло-коричневый</t>
        </is>
      </c>
      <c r="E498" t="inlineStr">
        <is>
          <t xml:space="preserve">светло-коричневый</t>
        </is>
      </c>
      <c r="F498" t="inlineStr">
        <is>
          <t xml:space="preserve">50/188</t>
        </is>
      </c>
      <c r="G498">
        <v>4</v>
      </c>
      <c r="H498" s="2">
        <v>32.0</v>
      </c>
      <c r="I498" t="inlineStr">
        <is>
          <t xml:space="preserve">50%хлопок, 50% акрил</t>
        </is>
      </c>
      <c r="J498"/>
      <c r="K498" t="inlineStr">
        <is>
          <t xml:space="preserve">Бангладеш</t>
        </is>
      </c>
      <c r="L498" t="inlineStr">
        <is>
          <t xml:space="preserve">6110209100</t>
        </is>
      </c>
      <c r="M498" t="inlineStr">
        <is>
          <t xml:space="preserve">Декларация № ЕАЭС № BY/112 11.01. ТР017 122.01 08246, до 19.04.2028</t>
        </is>
      </c>
      <c r="N498" t="inlineStr">
        <is>
          <t xml:space="preserve">35 × 25 × 3</t>
        </is>
      </c>
      <c r="O498" t="inlineStr">
        <is>
          <t xml:space="preserve">0,44</t>
        </is>
      </c>
      <c r="P498" t="inlineStr">
        <is>
          <t xml:space="preserve">4816148138071</t>
        </is>
      </c>
      <c r="Q498" s="3" t="str">
        <f>HYPERLINK("https://modify.by/img/258242627/1.webp","фото")</f>
        <v>фото</v>
      </c>
      <c r="R498" s="3" t="str">
        <f>HYPERLINK("https://modify.by/catalog/svitery/258242627/?utm_source=price&amp;utm_medium=xlsx","открыть")</f>
        <v>открыть</v>
      </c>
    </row>
    <row r="499">
      <c r="A499" t="inlineStr">
        <is>
          <t xml:space="preserve">Мужской</t>
        </is>
      </c>
      <c r="B499" t="inlineStr">
        <is>
          <t xml:space="preserve">Свитеры</t>
        </is>
      </c>
      <c r="C499" t="inlineStr">
        <is>
          <t xml:space="preserve">Свитер базовый теплый хлопковый</t>
        </is>
      </c>
      <c r="D499" t="inlineStr">
        <is>
          <t xml:space="preserve">SW52M04серый/176</t>
        </is>
      </c>
      <c r="E499" t="inlineStr">
        <is>
          <t xml:space="preserve">серый</t>
        </is>
      </c>
      <c r="F499" t="inlineStr">
        <is>
          <t xml:space="preserve">50</t>
        </is>
      </c>
      <c r="G499">
        <v>30</v>
      </c>
      <c r="H499" s="2">
        <v>36.0</v>
      </c>
      <c r="I499" t="inlineStr">
        <is>
          <t xml:space="preserve">хлопок 100%</t>
        </is>
      </c>
      <c r="J499"/>
      <c r="K499" t="inlineStr">
        <is>
          <t xml:space="preserve">Бангладеш</t>
        </is>
      </c>
      <c r="L499" t="inlineStr">
        <is>
          <t xml:space="preserve">6110209100</t>
        </is>
      </c>
      <c r="M499" t="inlineStr">
        <is>
          <t xml:space="preserve">Декларация № ЕАЭС № BY/112 11.01. ТР017 122.01 08246, до 19.04.2028</t>
        </is>
      </c>
      <c r="N499" t="inlineStr">
        <is>
          <t xml:space="preserve">40 × 30 × 2</t>
        </is>
      </c>
      <c r="O499" t="inlineStr">
        <is>
          <t xml:space="preserve">0,37</t>
        </is>
      </c>
      <c r="P499" t="inlineStr">
        <is>
          <t xml:space="preserve">4816148169495</t>
        </is>
      </c>
      <c r="Q499" s="3" t="str">
        <f>HYPERLINK("https://modify.by/img/157027467/1.webp","фото")</f>
        <v>фото</v>
      </c>
      <c r="R499" s="3" t="str">
        <f>HYPERLINK("https://modify.by/catalog/svitery/157027467/?utm_source=price&amp;utm_medium=xlsx","открыть")</f>
        <v>открыть</v>
      </c>
    </row>
    <row r="500">
      <c r="A500" t="inlineStr">
        <is>
          <t xml:space="preserve">Мужской</t>
        </is>
      </c>
      <c r="B500" t="inlineStr">
        <is>
          <t xml:space="preserve">Свитеры</t>
        </is>
      </c>
      <c r="C500" t="inlineStr">
        <is>
          <t xml:space="preserve">Свитер вязаный с круглым вырезом</t>
        </is>
      </c>
      <c r="D500" t="inlineStr">
        <is>
          <t xml:space="preserve">SW32M47темно-синий</t>
        </is>
      </c>
      <c r="E500" t="inlineStr">
        <is>
          <t xml:space="preserve">темно-синий</t>
        </is>
      </c>
      <c r="F500" t="inlineStr">
        <is>
          <t xml:space="preserve">54/182</t>
        </is>
      </c>
      <c r="G500">
        <v>1</v>
      </c>
      <c r="H500" s="2">
        <v>33.0</v>
      </c>
      <c r="I500" t="inlineStr">
        <is>
          <t xml:space="preserve">хлопок 60% акрил 40%</t>
        </is>
      </c>
      <c r="J500"/>
      <c r="K500" t="inlineStr">
        <is>
          <t xml:space="preserve">Бангладеш</t>
        </is>
      </c>
      <c r="L500" t="inlineStr">
        <is>
          <t xml:space="preserve">6110209100</t>
        </is>
      </c>
      <c r="M500" t="inlineStr">
        <is>
          <t xml:space="preserve">по запросу</t>
        </is>
      </c>
      <c r="N500"/>
      <c r="O500"/>
      <c r="P500" t="inlineStr">
        <is>
          <t xml:space="preserve">2038096179445</t>
        </is>
      </c>
      <c r="Q500" s="3" t="str">
        <f>HYPERLINK("https://modify.by/img/181965840/1.webp","фото")</f>
        <v>фото</v>
      </c>
      <c r="R500" s="3" t="str">
        <f>HYPERLINK("https://modify.by/catalog/svitery/181965840/?utm_source=price&amp;utm_medium=xlsx","открыть")</f>
        <v>открыть</v>
      </c>
    </row>
    <row r="501">
      <c r="A501" t="inlineStr">
        <is>
          <t xml:space="preserve">Мужской</t>
        </is>
      </c>
      <c r="B501" t="inlineStr">
        <is>
          <t xml:space="preserve">Свитеры</t>
        </is>
      </c>
      <c r="C501" t="inlineStr">
        <is>
          <t xml:space="preserve">Свитер джемпер базовый офисный</t>
        </is>
      </c>
      <c r="D501" t="inlineStr">
        <is>
          <t xml:space="preserve">SW52M02Темно-бирюзовый</t>
        </is>
      </c>
      <c r="E501" t="inlineStr">
        <is>
          <t xml:space="preserve">темно-бирюзовый</t>
        </is>
      </c>
      <c r="F501" t="inlineStr">
        <is>
          <t xml:space="preserve">50</t>
        </is>
      </c>
      <c r="G501">
        <v>8</v>
      </c>
      <c r="H501" s="2">
        <v>33.0</v>
      </c>
      <c r="I501" t="inlineStr">
        <is>
          <t xml:space="preserve">хлопок 80%, нейлон 20%</t>
        </is>
      </c>
      <c r="J501"/>
      <c r="K501" t="inlineStr">
        <is>
          <t xml:space="preserve">Бангладеш</t>
        </is>
      </c>
      <c r="L501" t="inlineStr">
        <is>
          <t xml:space="preserve">6110209100</t>
        </is>
      </c>
      <c r="M501" t="inlineStr">
        <is>
          <t xml:space="preserve">Декларация № ЕАЭС № BY/112 11.01. ТР017 122.01 08246, до 19.04.2028</t>
        </is>
      </c>
      <c r="N501" t="inlineStr">
        <is>
          <t xml:space="preserve">38 × 30 × 2</t>
        </is>
      </c>
      <c r="O501" t="inlineStr">
        <is>
          <t xml:space="preserve">0,4</t>
        </is>
      </c>
      <c r="P501" t="inlineStr">
        <is>
          <t xml:space="preserve">4816148170767</t>
        </is>
      </c>
      <c r="Q501" s="3" t="str">
        <f>HYPERLINK("https://modify.by/img/553970327/1.webp","фото")</f>
        <v>фото</v>
      </c>
      <c r="R501" s="3" t="str">
        <f>HYPERLINK("https://modify.by/catalog/svitery/553970327/?utm_source=price&amp;utm_medium=xlsx","открыть")</f>
        <v>открыть</v>
      </c>
    </row>
    <row r="502">
      <c r="A502" t="inlineStr">
        <is>
          <t xml:space="preserve">Мужской</t>
        </is>
      </c>
      <c r="B502" t="inlineStr">
        <is>
          <t xml:space="preserve">Свитеры</t>
        </is>
      </c>
      <c r="C502" t="inlineStr">
        <is>
          <t xml:space="preserve">Свитер крупной вязки хлопок, темно-синий</t>
        </is>
      </c>
      <c r="D502" t="inlineStr">
        <is>
          <t xml:space="preserve">SW12M13*Темно-синий</t>
        </is>
      </c>
      <c r="E502" t="inlineStr">
        <is>
          <t xml:space="preserve">темно-синий</t>
        </is>
      </c>
      <c r="F502" t="inlineStr">
        <is>
          <t xml:space="preserve">46-48</t>
        </is>
      </c>
      <c r="G502">
        <v>2</v>
      </c>
      <c r="H502" s="2">
        <v>24.0</v>
      </c>
      <c r="I502" t="inlineStr">
        <is>
          <t xml:space="preserve">хлопок 100%</t>
        </is>
      </c>
      <c r="J502"/>
      <c r="K502" t="inlineStr">
        <is>
          <t xml:space="preserve">Бангладеш</t>
        </is>
      </c>
      <c r="L502" t="inlineStr">
        <is>
          <t xml:space="preserve">6110209900</t>
        </is>
      </c>
      <c r="M502" t="inlineStr">
        <is>
          <t xml:space="preserve">Декларация № ЕАЭС № BY/112 11.01. ТР017 122.01 08246, до 19.04.2028</t>
        </is>
      </c>
      <c r="N502" t="inlineStr">
        <is>
          <t xml:space="preserve">3 × 30 × 35</t>
        </is>
      </c>
      <c r="O502" t="inlineStr">
        <is>
          <t xml:space="preserve">0,4</t>
        </is>
      </c>
      <c r="P502" t="inlineStr">
        <is>
          <t xml:space="preserve">2004570292726</t>
        </is>
      </c>
      <c r="Q502" s="3" t="str">
        <f>HYPERLINK("https://modify.by/img/58481245/1.webp","фото")</f>
        <v>фото</v>
      </c>
      <c r="R502" s="3" t="str">
        <f>HYPERLINK("https://modify.by/catalog/svitery/58481245/?utm_source=price&amp;utm_medium=xlsx","открыть")</f>
        <v>открыть</v>
      </c>
    </row>
    <row r="503">
      <c r="A503" t="inlineStr">
        <is>
          <t xml:space="preserve">Мужской</t>
        </is>
      </c>
      <c r="B503" t="inlineStr">
        <is>
          <t xml:space="preserve">Свитеры</t>
        </is>
      </c>
      <c r="C503" t="inlineStr">
        <is>
          <t xml:space="preserve">Свитер крупной вязки хлопок, темно-синий</t>
        </is>
      </c>
      <c r="D503" t="inlineStr">
        <is>
          <t xml:space="preserve">SW12M13*Темно-синий</t>
        </is>
      </c>
      <c r="E503" t="inlineStr">
        <is>
          <t xml:space="preserve">темно-синий</t>
        </is>
      </c>
      <c r="F503" t="inlineStr">
        <is>
          <t xml:space="preserve">46-48</t>
        </is>
      </c>
      <c r="G503">
        <v>2</v>
      </c>
      <c r="H503" s="2">
        <v>24.0</v>
      </c>
      <c r="I503" t="inlineStr">
        <is>
          <t xml:space="preserve">хлопок 100%</t>
        </is>
      </c>
      <c r="J503"/>
      <c r="K503" t="inlineStr">
        <is>
          <t xml:space="preserve">Бангладеш</t>
        </is>
      </c>
      <c r="L503" t="inlineStr">
        <is>
          <t xml:space="preserve">6110209900</t>
        </is>
      </c>
      <c r="M503" t="inlineStr">
        <is>
          <t xml:space="preserve">Декларация № ЕАЭС № BY/112 11.01. ТР017 122.01 08246, до 19.04.2028</t>
        </is>
      </c>
      <c r="N503" t="inlineStr">
        <is>
          <t xml:space="preserve">3 × 30 × 35</t>
        </is>
      </c>
      <c r="O503" t="inlineStr">
        <is>
          <t xml:space="preserve">0,4</t>
        </is>
      </c>
      <c r="P503" t="inlineStr">
        <is>
          <t xml:space="preserve">4816148179005</t>
        </is>
      </c>
      <c r="Q503" s="3" t="str">
        <f>HYPERLINK("https://modify.by/img/58481245/1.webp","фото")</f>
        <v>фото</v>
      </c>
      <c r="R503" s="3" t="str">
        <f>HYPERLINK("https://modify.by/catalog/svitery/58481245/?utm_source=price&amp;utm_medium=xlsx","открыть")</f>
        <v>открыть</v>
      </c>
    </row>
    <row r="504">
      <c r="A504" t="inlineStr">
        <is>
          <t xml:space="preserve">Мужской</t>
        </is>
      </c>
      <c r="B504" t="inlineStr">
        <is>
          <t xml:space="preserve">Свитеры</t>
        </is>
      </c>
      <c r="C504" t="inlineStr">
        <is>
          <t xml:space="preserve">Свитер крупной вязки хлопок, черный</t>
        </is>
      </c>
      <c r="D504" t="inlineStr">
        <is>
          <t xml:space="preserve">SW12M13*Черный,белый</t>
        </is>
      </c>
      <c r="E504" t="inlineStr">
        <is>
          <t xml:space="preserve">черный</t>
        </is>
      </c>
      <c r="F504" t="inlineStr">
        <is>
          <t xml:space="preserve">56-58</t>
        </is>
      </c>
      <c r="G504">
        <v>1</v>
      </c>
      <c r="H504" s="2">
        <v>24.0</v>
      </c>
      <c r="I504" t="inlineStr">
        <is>
          <t xml:space="preserve">хлопок 100%</t>
        </is>
      </c>
      <c r="J504"/>
      <c r="K504" t="inlineStr">
        <is>
          <t xml:space="preserve">Бангладеш</t>
        </is>
      </c>
      <c r="L504" t="inlineStr">
        <is>
          <t xml:space="preserve">6110209900</t>
        </is>
      </c>
      <c r="M504" t="inlineStr">
        <is>
          <t xml:space="preserve">Декларация № ЕАЭС № BY/112 11.01. ТР017 122.01 08246, до 19.04.2028</t>
        </is>
      </c>
      <c r="N504" t="inlineStr">
        <is>
          <t xml:space="preserve">3 × 30 × 35</t>
        </is>
      </c>
      <c r="O504" t="inlineStr">
        <is>
          <t xml:space="preserve">0,4</t>
        </is>
      </c>
      <c r="P504" t="inlineStr">
        <is>
          <t xml:space="preserve">2004570292764</t>
        </is>
      </c>
      <c r="Q504" s="3" t="str">
        <f>HYPERLINK("https://modify.by/img/58481246/1.webp","фото")</f>
        <v>фото</v>
      </c>
      <c r="R504" s="3" t="str">
        <f>HYPERLINK("https://modify.by/catalog/svitery/58481246/?utm_source=price&amp;utm_medium=xlsx","открыть")</f>
        <v>открыть</v>
      </c>
    </row>
    <row r="505">
      <c r="A505" t="inlineStr">
        <is>
          <t xml:space="preserve">Мужской</t>
        </is>
      </c>
      <c r="B505" t="inlineStr">
        <is>
          <t xml:space="preserve">Свитеры</t>
        </is>
      </c>
      <c r="C505" t="inlineStr">
        <is>
          <t xml:space="preserve">Свитер крупной вязки хлопок, черный</t>
        </is>
      </c>
      <c r="D505" t="inlineStr">
        <is>
          <t xml:space="preserve">SW12M13*Черный,белый</t>
        </is>
      </c>
      <c r="E505" t="inlineStr">
        <is>
          <t xml:space="preserve">черный</t>
        </is>
      </c>
      <c r="F505" t="inlineStr">
        <is>
          <t xml:space="preserve">56-58</t>
        </is>
      </c>
      <c r="G505">
        <v>1</v>
      </c>
      <c r="H505" s="2">
        <v>24.0</v>
      </c>
      <c r="I505" t="inlineStr">
        <is>
          <t xml:space="preserve">хлопок 100%</t>
        </is>
      </c>
      <c r="J505"/>
      <c r="K505" t="inlineStr">
        <is>
          <t xml:space="preserve">Бангладеш</t>
        </is>
      </c>
      <c r="L505" t="inlineStr">
        <is>
          <t xml:space="preserve">6110209900</t>
        </is>
      </c>
      <c r="M505" t="inlineStr">
        <is>
          <t xml:space="preserve">Декларация № ЕАЭС № BY/112 11.01. ТР017 122.01 08246, до 19.04.2028</t>
        </is>
      </c>
      <c r="N505" t="inlineStr">
        <is>
          <t xml:space="preserve">3 × 30 × 35</t>
        </is>
      </c>
      <c r="O505" t="inlineStr">
        <is>
          <t xml:space="preserve">0,4</t>
        </is>
      </c>
      <c r="P505" t="inlineStr">
        <is>
          <t xml:space="preserve">4816148179036</t>
        </is>
      </c>
      <c r="Q505" s="3" t="str">
        <f>HYPERLINK("https://modify.by/img/58481246/1.webp","фото")</f>
        <v>фото</v>
      </c>
      <c r="R505" s="3" t="str">
        <f>HYPERLINK("https://modify.by/catalog/svitery/58481246/?utm_source=price&amp;utm_medium=xlsx","открыть")</f>
        <v>открыть</v>
      </c>
    </row>
    <row r="506">
      <c r="A506" t="inlineStr">
        <is>
          <t xml:space="preserve">Мужской</t>
        </is>
      </c>
      <c r="B506" t="inlineStr">
        <is>
          <t xml:space="preserve">Свитеры</t>
        </is>
      </c>
      <c r="C506" t="inlineStr">
        <is>
          <t xml:space="preserve">Свитер легкий с воротником на молнии</t>
        </is>
      </c>
      <c r="D506" t="inlineStr">
        <is>
          <t xml:space="preserve">SW62M08темно-синий</t>
        </is>
      </c>
      <c r="E506" t="inlineStr">
        <is>
          <t xml:space="preserve">темно-синий</t>
        </is>
      </c>
      <c r="F506" t="inlineStr">
        <is>
          <t xml:space="preserve">50</t>
        </is>
      </c>
      <c r="G506">
        <v>5</v>
      </c>
      <c r="H506" s="2">
        <v>37.0</v>
      </c>
      <c r="I506" t="inlineStr">
        <is>
          <t xml:space="preserve">50% хлопок, 50%акрил</t>
        </is>
      </c>
      <c r="J506"/>
      <c r="K506" t="inlineStr">
        <is>
          <t xml:space="preserve">Бангладеш</t>
        </is>
      </c>
      <c r="L506" t="inlineStr">
        <is>
          <t xml:space="preserve">6110309100</t>
        </is>
      </c>
      <c r="M506" t="inlineStr">
        <is>
          <t xml:space="preserve">Декларация № ЕАЭС № BY/112 11.01. ТР017 122.01 08246, до 19.04.2028</t>
        </is>
      </c>
      <c r="N506" t="inlineStr">
        <is>
          <t xml:space="preserve">40 × 30 × 4</t>
        </is>
      </c>
      <c r="O506" t="inlineStr">
        <is>
          <t xml:space="preserve">0,48</t>
        </is>
      </c>
      <c r="P506" t="inlineStr">
        <is>
          <t xml:space="preserve">4816148173218</t>
        </is>
      </c>
      <c r="Q506" s="3" t="str">
        <f>HYPERLINK("https://modify.by/img/685816467/1.webp","фото")</f>
        <v>фото</v>
      </c>
      <c r="R506" s="3" t="str">
        <f>HYPERLINK("https://modify.by/catalog/svitery/685816467/?utm_source=price&amp;utm_medium=xlsx","открыть")</f>
        <v>открыть</v>
      </c>
    </row>
    <row r="507">
      <c r="A507" t="inlineStr">
        <is>
          <t xml:space="preserve">Мужской</t>
        </is>
      </c>
      <c r="B507" t="inlineStr">
        <is>
          <t xml:space="preserve">Свитеры</t>
        </is>
      </c>
      <c r="C507" t="inlineStr">
        <is>
          <t xml:space="preserve">Свитер легкий с воротником на молнии</t>
        </is>
      </c>
      <c r="D507" t="inlineStr">
        <is>
          <t xml:space="preserve">SW62M08темно-синий</t>
        </is>
      </c>
      <c r="E507" t="inlineStr">
        <is>
          <t xml:space="preserve">темно-синий</t>
        </is>
      </c>
      <c r="F507" t="inlineStr">
        <is>
          <t xml:space="preserve">52</t>
        </is>
      </c>
      <c r="G507">
        <v>38</v>
      </c>
      <c r="H507" s="2">
        <v>37.0</v>
      </c>
      <c r="I507" t="inlineStr">
        <is>
          <t xml:space="preserve">50% хлопок, 50%акрил</t>
        </is>
      </c>
      <c r="J507"/>
      <c r="K507" t="inlineStr">
        <is>
          <t xml:space="preserve">Бангладеш</t>
        </is>
      </c>
      <c r="L507" t="inlineStr">
        <is>
          <t xml:space="preserve">6110309100</t>
        </is>
      </c>
      <c r="M507" t="inlineStr">
        <is>
          <t xml:space="preserve">Декларация № ЕАЭС № BY/112 11.01. ТР017 122.01 08246, до 19.04.2028</t>
        </is>
      </c>
      <c r="N507" t="inlineStr">
        <is>
          <t xml:space="preserve">40 × 30 × 4</t>
        </is>
      </c>
      <c r="O507" t="inlineStr">
        <is>
          <t xml:space="preserve">0,48</t>
        </is>
      </c>
      <c r="P507" t="inlineStr">
        <is>
          <t xml:space="preserve">4816148173225</t>
        </is>
      </c>
      <c r="Q507" s="3" t="str">
        <f>HYPERLINK("https://modify.by/img/685816467/1.webp","фото")</f>
        <v>фото</v>
      </c>
      <c r="R507" s="3" t="str">
        <f>HYPERLINK("https://modify.by/catalog/svitery/685816467/?utm_source=price&amp;utm_medium=xlsx","открыть")</f>
        <v>открыть</v>
      </c>
    </row>
    <row r="508">
      <c r="A508" t="inlineStr">
        <is>
          <t xml:space="preserve">Мужской</t>
        </is>
      </c>
      <c r="B508" t="inlineStr">
        <is>
          <t xml:space="preserve">Свитеры</t>
        </is>
      </c>
      <c r="C508" t="inlineStr">
        <is>
          <t xml:space="preserve">Свитер легкий с воротником на молнии</t>
        </is>
      </c>
      <c r="D508" t="inlineStr">
        <is>
          <t xml:space="preserve">SW62M08темно-синий</t>
        </is>
      </c>
      <c r="E508" t="inlineStr">
        <is>
          <t xml:space="preserve">темно-синий</t>
        </is>
      </c>
      <c r="F508" t="inlineStr">
        <is>
          <t xml:space="preserve">54</t>
        </is>
      </c>
      <c r="G508">
        <v>23</v>
      </c>
      <c r="H508" s="2">
        <v>37.0</v>
      </c>
      <c r="I508" t="inlineStr">
        <is>
          <t xml:space="preserve">50% хлопок, 50%акрил</t>
        </is>
      </c>
      <c r="J508"/>
      <c r="K508" t="inlineStr">
        <is>
          <t xml:space="preserve">Бангладеш</t>
        </is>
      </c>
      <c r="L508" t="inlineStr">
        <is>
          <t xml:space="preserve">6110309100</t>
        </is>
      </c>
      <c r="M508" t="inlineStr">
        <is>
          <t xml:space="preserve">Декларация № ЕАЭС № BY/112 11.01. ТР017 122.01 08246, до 19.04.2028</t>
        </is>
      </c>
      <c r="N508" t="inlineStr">
        <is>
          <t xml:space="preserve">40 × 30 × 4</t>
        </is>
      </c>
      <c r="O508" t="inlineStr">
        <is>
          <t xml:space="preserve">0,48</t>
        </is>
      </c>
      <c r="P508" t="inlineStr">
        <is>
          <t xml:space="preserve">4816148173232</t>
        </is>
      </c>
      <c r="Q508" s="3" t="str">
        <f>HYPERLINK("https://modify.by/img/685816467/1.webp","фото")</f>
        <v>фото</v>
      </c>
      <c r="R508" s="3" t="str">
        <f>HYPERLINK("https://modify.by/catalog/svitery/685816467/?utm_source=price&amp;utm_medium=xlsx","открыть")</f>
        <v>открыть</v>
      </c>
    </row>
    <row r="509">
      <c r="A509" t="inlineStr">
        <is>
          <t xml:space="preserve">Мужской</t>
        </is>
      </c>
      <c r="B509" t="inlineStr">
        <is>
          <t xml:space="preserve">Свитеры</t>
        </is>
      </c>
      <c r="C509" t="inlineStr">
        <is>
          <t xml:space="preserve">Свитер легкий с воротником на молнии</t>
        </is>
      </c>
      <c r="D509" t="inlineStr">
        <is>
          <t xml:space="preserve">SW62M08темно-синий</t>
        </is>
      </c>
      <c r="E509" t="inlineStr">
        <is>
          <t xml:space="preserve">темно-синий</t>
        </is>
      </c>
      <c r="F509" t="inlineStr">
        <is>
          <t xml:space="preserve">56</t>
        </is>
      </c>
      <c r="G509">
        <v>21</v>
      </c>
      <c r="H509" s="2">
        <v>37.0</v>
      </c>
      <c r="I509" t="inlineStr">
        <is>
          <t xml:space="preserve">50% хлопок, 50%акрил</t>
        </is>
      </c>
      <c r="J509"/>
      <c r="K509" t="inlineStr">
        <is>
          <t xml:space="preserve">Бангладеш</t>
        </is>
      </c>
      <c r="L509" t="inlineStr">
        <is>
          <t xml:space="preserve">6110309100</t>
        </is>
      </c>
      <c r="M509" t="inlineStr">
        <is>
          <t xml:space="preserve">Декларация № ЕАЭС № BY/112 11.01. ТР017 122.01 08246, до 19.04.2028</t>
        </is>
      </c>
      <c r="N509" t="inlineStr">
        <is>
          <t xml:space="preserve">40 × 30 × 4</t>
        </is>
      </c>
      <c r="O509" t="inlineStr">
        <is>
          <t xml:space="preserve">0,48</t>
        </is>
      </c>
      <c r="P509" t="inlineStr">
        <is>
          <t xml:space="preserve">4816148173249</t>
        </is>
      </c>
      <c r="Q509" s="3" t="str">
        <f>HYPERLINK("https://modify.by/img/685816467/1.webp","фото")</f>
        <v>фото</v>
      </c>
      <c r="R509" s="3" t="str">
        <f>HYPERLINK("https://modify.by/catalog/svitery/685816467/?utm_source=price&amp;utm_medium=xlsx","открыть")</f>
        <v>открыть</v>
      </c>
    </row>
    <row r="510">
      <c r="A510" t="inlineStr">
        <is>
          <t xml:space="preserve">Мужской</t>
        </is>
      </c>
      <c r="B510" t="inlineStr">
        <is>
          <t xml:space="preserve">Свитеры</t>
        </is>
      </c>
      <c r="C510" t="inlineStr">
        <is>
          <t xml:space="preserve">Свитер мужской/ хлопок</t>
        </is>
      </c>
      <c r="D510" t="inlineStr">
        <is>
          <t xml:space="preserve">SW12M10*Синий</t>
        </is>
      </c>
      <c r="E510" t="inlineStr">
        <is>
          <t xml:space="preserve">синий</t>
        </is>
      </c>
      <c r="F510" t="inlineStr">
        <is>
          <t xml:space="preserve">52-54</t>
        </is>
      </c>
      <c r="G510">
        <v>3</v>
      </c>
      <c r="H510" s="2">
        <v>26.0</v>
      </c>
      <c r="I510" t="inlineStr">
        <is>
          <t xml:space="preserve">хлопок 100%</t>
        </is>
      </c>
      <c r="J510"/>
      <c r="K510" t="inlineStr">
        <is>
          <t xml:space="preserve">Бангладеш</t>
        </is>
      </c>
      <c r="L510" t="inlineStr">
        <is>
          <t xml:space="preserve">6110209900</t>
        </is>
      </c>
      <c r="M510" t="inlineStr">
        <is>
          <t xml:space="preserve">Декларация № ЕАЭС № BY/112 11.01. ТР017 122.01 08246, до 19.04.2028</t>
        </is>
      </c>
      <c r="N510" t="inlineStr">
        <is>
          <t xml:space="preserve">2 × 30 × 35</t>
        </is>
      </c>
      <c r="O510" t="inlineStr">
        <is>
          <t xml:space="preserve">0,4</t>
        </is>
      </c>
      <c r="P510" t="inlineStr">
        <is>
          <t xml:space="preserve">4816148178961</t>
        </is>
      </c>
      <c r="Q510" s="3" t="str">
        <f>HYPERLINK("https://modify.by/img/58480044/1.webp","фото")</f>
        <v>фото</v>
      </c>
      <c r="R510" s="3" t="str">
        <f>HYPERLINK("https://modify.by/catalog/svitery/58480044/?utm_source=price&amp;utm_medium=xlsx","открыть")</f>
        <v>открыть</v>
      </c>
    </row>
    <row r="511">
      <c r="A511" t="inlineStr">
        <is>
          <t xml:space="preserve">Мужской</t>
        </is>
      </c>
      <c r="B511" t="inlineStr">
        <is>
          <t xml:space="preserve">Свитеры</t>
        </is>
      </c>
      <c r="C511" t="inlineStr">
        <is>
          <t xml:space="preserve">Свитер оверсайз хлопковый базовый</t>
        </is>
      </c>
      <c r="D511" t="inlineStr">
        <is>
          <t xml:space="preserve">SW62M10синий</t>
        </is>
      </c>
      <c r="E511" t="inlineStr">
        <is>
          <t xml:space="preserve">светло-синий, синий, дымчатый синий</t>
        </is>
      </c>
      <c r="F511" t="inlineStr">
        <is>
          <t xml:space="preserve">46</t>
        </is>
      </c>
      <c r="G511">
        <v>1</v>
      </c>
      <c r="H511" s="2">
        <v>36.0</v>
      </c>
      <c r="I511" t="inlineStr">
        <is>
          <t xml:space="preserve">хлопок 100%</t>
        </is>
      </c>
      <c r="J511"/>
      <c r="K511" t="inlineStr">
        <is>
          <t xml:space="preserve">Бангладеш</t>
        </is>
      </c>
      <c r="L511" t="inlineStr">
        <is>
          <t xml:space="preserve">6110209100</t>
        </is>
      </c>
      <c r="M511" t="inlineStr">
        <is>
          <t xml:space="preserve">Декларация № ЕАЭС № BY/112 11.01. ТР017 122.01 08246, до 19.04.2028</t>
        </is>
      </c>
      <c r="N511" t="inlineStr">
        <is>
          <t xml:space="preserve">36 × 30 × 3</t>
        </is>
      </c>
      <c r="O511" t="inlineStr">
        <is>
          <t xml:space="preserve">0,52</t>
        </is>
      </c>
      <c r="P511" t="inlineStr">
        <is>
          <t xml:space="preserve">4816148174208</t>
        </is>
      </c>
      <c r="Q511" s="3" t="str">
        <f>HYPERLINK("https://modify.by/img/740168600/1.webp","фото")</f>
        <v>фото</v>
      </c>
      <c r="R511" s="3" t="str">
        <f>HYPERLINK("https://modify.by/catalog/svitery/740168600/?utm_source=price&amp;utm_medium=xlsx","открыть")</f>
        <v>открыть</v>
      </c>
    </row>
    <row r="512">
      <c r="A512" t="inlineStr">
        <is>
          <t xml:space="preserve">Мужской</t>
        </is>
      </c>
      <c r="B512" t="inlineStr">
        <is>
          <t xml:space="preserve">Свитеры</t>
        </is>
      </c>
      <c r="C512" t="inlineStr">
        <is>
          <t xml:space="preserve">Свитер оверсайз хлопковый базовый</t>
        </is>
      </c>
      <c r="D512" t="inlineStr">
        <is>
          <t xml:space="preserve">SW62M10синий</t>
        </is>
      </c>
      <c r="E512" t="inlineStr">
        <is>
          <t xml:space="preserve">светло-синий, синий, дымчатый синий</t>
        </is>
      </c>
      <c r="F512" t="inlineStr">
        <is>
          <t xml:space="preserve">48</t>
        </is>
      </c>
      <c r="G512">
        <v>2</v>
      </c>
      <c r="H512" s="2">
        <v>36.0</v>
      </c>
      <c r="I512" t="inlineStr">
        <is>
          <t xml:space="preserve">хлопок 100%</t>
        </is>
      </c>
      <c r="J512"/>
      <c r="K512" t="inlineStr">
        <is>
          <t xml:space="preserve">Бангладеш</t>
        </is>
      </c>
      <c r="L512" t="inlineStr">
        <is>
          <t xml:space="preserve">6110209100</t>
        </is>
      </c>
      <c r="M512" t="inlineStr">
        <is>
          <t xml:space="preserve">Декларация № ЕАЭС № BY/112 11.01. ТР017 122.01 08246, до 19.04.2028</t>
        </is>
      </c>
      <c r="N512" t="inlineStr">
        <is>
          <t xml:space="preserve">36 × 30 × 3</t>
        </is>
      </c>
      <c r="O512" t="inlineStr">
        <is>
          <t xml:space="preserve">0,52</t>
        </is>
      </c>
      <c r="P512" t="inlineStr">
        <is>
          <t xml:space="preserve">4816148174215</t>
        </is>
      </c>
      <c r="Q512" s="3" t="str">
        <f>HYPERLINK("https://modify.by/img/740168600/1.webp","фото")</f>
        <v>фото</v>
      </c>
      <c r="R512" s="3" t="str">
        <f>HYPERLINK("https://modify.by/catalog/svitery/740168600/?utm_source=price&amp;utm_medium=xlsx","открыть")</f>
        <v>открыть</v>
      </c>
    </row>
    <row r="513">
      <c r="A513" t="inlineStr">
        <is>
          <t xml:space="preserve">Мужской</t>
        </is>
      </c>
      <c r="B513" t="inlineStr">
        <is>
          <t xml:space="preserve">Свитеры</t>
        </is>
      </c>
      <c r="C513" t="inlineStr">
        <is>
          <t xml:space="preserve">Свитер оверсайз хлопковый базовый</t>
        </is>
      </c>
      <c r="D513" t="inlineStr">
        <is>
          <t xml:space="preserve">SW62M10синий</t>
        </is>
      </c>
      <c r="E513" t="inlineStr">
        <is>
          <t xml:space="preserve">светло-синий, синий, дымчатый синий</t>
        </is>
      </c>
      <c r="F513" t="inlineStr">
        <is>
          <t xml:space="preserve">50</t>
        </is>
      </c>
      <c r="G513">
        <v>5</v>
      </c>
      <c r="H513" s="2">
        <v>36.0</v>
      </c>
      <c r="I513" t="inlineStr">
        <is>
          <t xml:space="preserve">хлопок 100%</t>
        </is>
      </c>
      <c r="J513"/>
      <c r="K513" t="inlineStr">
        <is>
          <t xml:space="preserve">Бангладеш</t>
        </is>
      </c>
      <c r="L513" t="inlineStr">
        <is>
          <t xml:space="preserve">6110209100</t>
        </is>
      </c>
      <c r="M513" t="inlineStr">
        <is>
          <t xml:space="preserve">Декларация № ЕАЭС № BY/112 11.01. ТР017 122.01 08246, до 19.04.2028</t>
        </is>
      </c>
      <c r="N513" t="inlineStr">
        <is>
          <t xml:space="preserve">36 × 30 × 3</t>
        </is>
      </c>
      <c r="O513" t="inlineStr">
        <is>
          <t xml:space="preserve">0,52</t>
        </is>
      </c>
      <c r="P513" t="inlineStr">
        <is>
          <t xml:space="preserve">4816148174222</t>
        </is>
      </c>
      <c r="Q513" s="3" t="str">
        <f>HYPERLINK("https://modify.by/img/740168600/1.webp","фото")</f>
        <v>фото</v>
      </c>
      <c r="R513" s="3" t="str">
        <f>HYPERLINK("https://modify.by/catalog/svitery/740168600/?utm_source=price&amp;utm_medium=xlsx","открыть")</f>
        <v>открыть</v>
      </c>
    </row>
    <row r="514">
      <c r="A514" t="inlineStr">
        <is>
          <t xml:space="preserve">Мужской</t>
        </is>
      </c>
      <c r="B514" t="inlineStr">
        <is>
          <t xml:space="preserve">Свитеры</t>
        </is>
      </c>
      <c r="C514" t="inlineStr">
        <is>
          <t xml:space="preserve">Свитер оверсайз хлопковый базовый</t>
        </is>
      </c>
      <c r="D514" t="inlineStr">
        <is>
          <t xml:space="preserve">SW62M10синий</t>
        </is>
      </c>
      <c r="E514" t="inlineStr">
        <is>
          <t xml:space="preserve">светло-синий, синий, дымчатый синий</t>
        </is>
      </c>
      <c r="F514" t="inlineStr">
        <is>
          <t xml:space="preserve">52</t>
        </is>
      </c>
      <c r="G514">
        <v>29</v>
      </c>
      <c r="H514" s="2">
        <v>36.0</v>
      </c>
      <c r="I514" t="inlineStr">
        <is>
          <t xml:space="preserve">хлопок 100%</t>
        </is>
      </c>
      <c r="J514"/>
      <c r="K514" t="inlineStr">
        <is>
          <t xml:space="preserve">Бангладеш</t>
        </is>
      </c>
      <c r="L514" t="inlineStr">
        <is>
          <t xml:space="preserve">6110209100</t>
        </is>
      </c>
      <c r="M514" t="inlineStr">
        <is>
          <t xml:space="preserve">Декларация № ЕАЭС № BY/112 11.01. ТР017 122.01 08246, до 19.04.2028</t>
        </is>
      </c>
      <c r="N514" t="inlineStr">
        <is>
          <t xml:space="preserve">36 × 30 × 3</t>
        </is>
      </c>
      <c r="O514" t="inlineStr">
        <is>
          <t xml:space="preserve">0,52</t>
        </is>
      </c>
      <c r="P514" t="inlineStr">
        <is>
          <t xml:space="preserve">4816148174239</t>
        </is>
      </c>
      <c r="Q514" s="3" t="str">
        <f>HYPERLINK("https://modify.by/img/740168600/1.webp","фото")</f>
        <v>фото</v>
      </c>
      <c r="R514" s="3" t="str">
        <f>HYPERLINK("https://modify.by/catalog/svitery/740168600/?utm_source=price&amp;utm_medium=xlsx","открыть")</f>
        <v>открыть</v>
      </c>
    </row>
    <row r="515">
      <c r="A515" t="inlineStr">
        <is>
          <t xml:space="preserve">Мужской</t>
        </is>
      </c>
      <c r="B515" t="inlineStr">
        <is>
          <t xml:space="preserve">Свитеры</t>
        </is>
      </c>
      <c r="C515" t="inlineStr">
        <is>
          <t xml:space="preserve">Свитер оверсайз хлопковый базовый</t>
        </is>
      </c>
      <c r="D515" t="inlineStr">
        <is>
          <t xml:space="preserve">SW62M10синий</t>
        </is>
      </c>
      <c r="E515" t="inlineStr">
        <is>
          <t xml:space="preserve">светло-синий, синий, дымчатый синий</t>
        </is>
      </c>
      <c r="F515" t="inlineStr">
        <is>
          <t xml:space="preserve">54</t>
        </is>
      </c>
      <c r="G515">
        <v>36</v>
      </c>
      <c r="H515" s="2">
        <v>36.0</v>
      </c>
      <c r="I515" t="inlineStr">
        <is>
          <t xml:space="preserve">хлопок 100%</t>
        </is>
      </c>
      <c r="J515"/>
      <c r="K515" t="inlineStr">
        <is>
          <t xml:space="preserve">Бангладеш</t>
        </is>
      </c>
      <c r="L515" t="inlineStr">
        <is>
          <t xml:space="preserve">6110209100</t>
        </is>
      </c>
      <c r="M515" t="inlineStr">
        <is>
          <t xml:space="preserve">Декларация № ЕАЭС № BY/112 11.01. ТР017 122.01 08246, до 19.04.2028</t>
        </is>
      </c>
      <c r="N515" t="inlineStr">
        <is>
          <t xml:space="preserve">36 × 30 × 3</t>
        </is>
      </c>
      <c r="O515" t="inlineStr">
        <is>
          <t xml:space="preserve">0,52</t>
        </is>
      </c>
      <c r="P515" t="inlineStr">
        <is>
          <t xml:space="preserve">4816148174246</t>
        </is>
      </c>
      <c r="Q515" s="3" t="str">
        <f>HYPERLINK("https://modify.by/img/740168600/1.webp","фото")</f>
        <v>фото</v>
      </c>
      <c r="R515" s="3" t="str">
        <f>HYPERLINK("https://modify.by/catalog/svitery/740168600/?utm_source=price&amp;utm_medium=xlsx","открыть")</f>
        <v>открыть</v>
      </c>
    </row>
    <row r="516">
      <c r="A516" t="inlineStr">
        <is>
          <t xml:space="preserve">Мужской</t>
        </is>
      </c>
      <c r="B516" t="inlineStr">
        <is>
          <t xml:space="preserve">Свитеры</t>
        </is>
      </c>
      <c r="C516" t="inlineStr">
        <is>
          <t xml:space="preserve">Свитер оверсайз хлопковый базовый</t>
        </is>
      </c>
      <c r="D516" t="inlineStr">
        <is>
          <t xml:space="preserve">SW62M10синий</t>
        </is>
      </c>
      <c r="E516" t="inlineStr">
        <is>
          <t xml:space="preserve">светло-синий, синий, дымчатый синий</t>
        </is>
      </c>
      <c r="F516" t="inlineStr">
        <is>
          <t xml:space="preserve">56</t>
        </is>
      </c>
      <c r="G516">
        <v>5</v>
      </c>
      <c r="H516" s="2">
        <v>36.0</v>
      </c>
      <c r="I516" t="inlineStr">
        <is>
          <t xml:space="preserve">хлопок 100%</t>
        </is>
      </c>
      <c r="J516"/>
      <c r="K516" t="inlineStr">
        <is>
          <t xml:space="preserve">Бангладеш</t>
        </is>
      </c>
      <c r="L516" t="inlineStr">
        <is>
          <t xml:space="preserve">6110209100</t>
        </is>
      </c>
      <c r="M516" t="inlineStr">
        <is>
          <t xml:space="preserve">Декларация № ЕАЭС № BY/112 11.01. ТР017 122.01 08246, до 19.04.2028</t>
        </is>
      </c>
      <c r="N516" t="inlineStr">
        <is>
          <t xml:space="preserve">36 × 30 × 3</t>
        </is>
      </c>
      <c r="O516" t="inlineStr">
        <is>
          <t xml:space="preserve">0,52</t>
        </is>
      </c>
      <c r="P516" t="inlineStr">
        <is>
          <t xml:space="preserve">4816148174253</t>
        </is>
      </c>
      <c r="Q516" s="3" t="str">
        <f>HYPERLINK("https://modify.by/img/740168600/1.webp","фото")</f>
        <v>фото</v>
      </c>
      <c r="R516" s="3" t="str">
        <f>HYPERLINK("https://modify.by/catalog/svitery/740168600/?utm_source=price&amp;utm_medium=xlsx","открыть")</f>
        <v>открыть</v>
      </c>
    </row>
    <row r="517">
      <c r="A517" t="inlineStr">
        <is>
          <t xml:space="preserve">Мужской</t>
        </is>
      </c>
      <c r="B517" t="inlineStr">
        <is>
          <t xml:space="preserve">Свитеры</t>
        </is>
      </c>
      <c r="C517" t="inlineStr">
        <is>
          <t xml:space="preserve">Свитер оверсайз хлопковый базовый</t>
        </is>
      </c>
      <c r="D517" t="inlineStr">
        <is>
          <t xml:space="preserve">SW62M10синий</t>
        </is>
      </c>
      <c r="E517" t="inlineStr">
        <is>
          <t xml:space="preserve">светло-синий, синий, дымчатый синий</t>
        </is>
      </c>
      <c r="F517" t="inlineStr">
        <is>
          <t xml:space="preserve">58</t>
        </is>
      </c>
      <c r="G517">
        <v>21</v>
      </c>
      <c r="H517" s="2">
        <v>36.0</v>
      </c>
      <c r="I517" t="inlineStr">
        <is>
          <t xml:space="preserve">хлопок 100%</t>
        </is>
      </c>
      <c r="J517"/>
      <c r="K517" t="inlineStr">
        <is>
          <t xml:space="preserve">Бангладеш</t>
        </is>
      </c>
      <c r="L517" t="inlineStr">
        <is>
          <t xml:space="preserve">6110209100</t>
        </is>
      </c>
      <c r="M517" t="inlineStr">
        <is>
          <t xml:space="preserve">Декларация № ЕАЭС № BY/112 11.01. ТР017 122.01 08246, до 19.04.2028</t>
        </is>
      </c>
      <c r="N517" t="inlineStr">
        <is>
          <t xml:space="preserve">36 × 30 × 3</t>
        </is>
      </c>
      <c r="O517" t="inlineStr">
        <is>
          <t xml:space="preserve">0,52</t>
        </is>
      </c>
      <c r="P517" t="inlineStr">
        <is>
          <t xml:space="preserve">4816148174260</t>
        </is>
      </c>
      <c r="Q517" s="3" t="str">
        <f>HYPERLINK("https://modify.by/img/740168600/1.webp","фото")</f>
        <v>фото</v>
      </c>
      <c r="R517" s="3" t="str">
        <f>HYPERLINK("https://modify.by/catalog/svitery/740168600/?utm_source=price&amp;utm_medium=xlsx","открыть")</f>
        <v>открыть</v>
      </c>
    </row>
    <row r="518">
      <c r="A518" t="inlineStr">
        <is>
          <t xml:space="preserve">Мужской</t>
        </is>
      </c>
      <c r="B518" t="inlineStr">
        <is>
          <t xml:space="preserve">Свитеры</t>
        </is>
      </c>
      <c r="C518" t="inlineStr">
        <is>
          <t xml:space="preserve">Свитер оверсайз хлопковый большие размеры, серо-зеленый</t>
        </is>
      </c>
      <c r="D518" t="inlineStr">
        <is>
          <t xml:space="preserve">SW62M10серо-зеленый</t>
        </is>
      </c>
      <c r="E518" t="inlineStr">
        <is>
          <t xml:space="preserve">серо-зеленый</t>
        </is>
      </c>
      <c r="F518" t="inlineStr">
        <is>
          <t xml:space="preserve">52</t>
        </is>
      </c>
      <c r="G518">
        <v>12</v>
      </c>
      <c r="H518" s="2">
        <v>36.0</v>
      </c>
      <c r="I518" t="inlineStr">
        <is>
          <t xml:space="preserve">хлопок 100%</t>
        </is>
      </c>
      <c r="J518"/>
      <c r="K518" t="inlineStr">
        <is>
          <t xml:space="preserve">Бангладеш</t>
        </is>
      </c>
      <c r="L518" t="inlineStr">
        <is>
          <t xml:space="preserve">6110209100</t>
        </is>
      </c>
      <c r="M518" t="inlineStr">
        <is>
          <t xml:space="preserve">Декларация № ЕАЭС № BY/112 11.01. ТР017 122.01 08246, до 19.04.2028</t>
        </is>
      </c>
      <c r="N518" t="inlineStr">
        <is>
          <t xml:space="preserve">36 × 30 × 3</t>
        </is>
      </c>
      <c r="O518" t="inlineStr">
        <is>
          <t xml:space="preserve">0,52</t>
        </is>
      </c>
      <c r="P518" t="inlineStr">
        <is>
          <t xml:space="preserve">4816148173867</t>
        </is>
      </c>
      <c r="Q518" s="3" t="str">
        <f>HYPERLINK("https://modify.by/img/732935727/1.webp","фото")</f>
        <v>фото</v>
      </c>
      <c r="R518" s="3" t="str">
        <f>HYPERLINK("https://modify.by/catalog/svitery/732935727/?utm_source=price&amp;utm_medium=xlsx","открыть")</f>
        <v>открыть</v>
      </c>
    </row>
    <row r="519">
      <c r="A519" t="inlineStr">
        <is>
          <t xml:space="preserve">Мужской</t>
        </is>
      </c>
      <c r="B519" t="inlineStr">
        <is>
          <t xml:space="preserve">Свитеры</t>
        </is>
      </c>
      <c r="C519" t="inlineStr">
        <is>
          <t xml:space="preserve">Свитер оверсайз хлопковый большие размеры, серо-зеленый</t>
        </is>
      </c>
      <c r="D519" t="inlineStr">
        <is>
          <t xml:space="preserve">SW62M10серо-зеленый</t>
        </is>
      </c>
      <c r="E519" t="inlineStr">
        <is>
          <t xml:space="preserve">серо-зеленый</t>
        </is>
      </c>
      <c r="F519" t="inlineStr">
        <is>
          <t xml:space="preserve">54</t>
        </is>
      </c>
      <c r="G519">
        <v>7</v>
      </c>
      <c r="H519" s="2">
        <v>36.0</v>
      </c>
      <c r="I519" t="inlineStr">
        <is>
          <t xml:space="preserve">хлопок 100%</t>
        </is>
      </c>
      <c r="J519"/>
      <c r="K519" t="inlineStr">
        <is>
          <t xml:space="preserve">Бангладеш</t>
        </is>
      </c>
      <c r="L519" t="inlineStr">
        <is>
          <t xml:space="preserve">6110209100</t>
        </is>
      </c>
      <c r="M519" t="inlineStr">
        <is>
          <t xml:space="preserve">Декларация № ЕАЭС № BY/112 11.01. ТР017 122.01 08246, до 19.04.2028</t>
        </is>
      </c>
      <c r="N519" t="inlineStr">
        <is>
          <t xml:space="preserve">36 × 30 × 3</t>
        </is>
      </c>
      <c r="O519" t="inlineStr">
        <is>
          <t xml:space="preserve">0,52</t>
        </is>
      </c>
      <c r="P519" t="inlineStr">
        <is>
          <t xml:space="preserve">4816148173874</t>
        </is>
      </c>
      <c r="Q519" s="3" t="str">
        <f>HYPERLINK("https://modify.by/img/732935727/1.webp","фото")</f>
        <v>фото</v>
      </c>
      <c r="R519" s="3" t="str">
        <f>HYPERLINK("https://modify.by/catalog/svitery/732935727/?utm_source=price&amp;utm_medium=xlsx","открыть")</f>
        <v>открыть</v>
      </c>
    </row>
    <row r="520">
      <c r="A520" t="inlineStr">
        <is>
          <t xml:space="preserve">Мужской</t>
        </is>
      </c>
      <c r="B520" t="inlineStr">
        <is>
          <t xml:space="preserve">Свитеры</t>
        </is>
      </c>
      <c r="C520" t="inlineStr">
        <is>
          <t xml:space="preserve">Свитер оверсайз хлопковый большие размеры, серо-зеленый</t>
        </is>
      </c>
      <c r="D520" t="inlineStr">
        <is>
          <t xml:space="preserve">SW62M10серо-зеленый</t>
        </is>
      </c>
      <c r="E520" t="inlineStr">
        <is>
          <t xml:space="preserve">серо-зеленый</t>
        </is>
      </c>
      <c r="F520" t="inlineStr">
        <is>
          <t xml:space="preserve">56</t>
        </is>
      </c>
      <c r="G520">
        <v>2</v>
      </c>
      <c r="H520" s="2">
        <v>36.0</v>
      </c>
      <c r="I520" t="inlineStr">
        <is>
          <t xml:space="preserve">хлопок 100%</t>
        </is>
      </c>
      <c r="J520"/>
      <c r="K520" t="inlineStr">
        <is>
          <t xml:space="preserve">Бангладеш</t>
        </is>
      </c>
      <c r="L520" t="inlineStr">
        <is>
          <t xml:space="preserve">6110209100</t>
        </is>
      </c>
      <c r="M520" t="inlineStr">
        <is>
          <t xml:space="preserve">Декларация № ЕАЭС № BY/112 11.01. ТР017 122.01 08246, до 19.04.2028</t>
        </is>
      </c>
      <c r="N520" t="inlineStr">
        <is>
          <t xml:space="preserve">36 × 30 × 3</t>
        </is>
      </c>
      <c r="O520" t="inlineStr">
        <is>
          <t xml:space="preserve">0,52</t>
        </is>
      </c>
      <c r="P520" t="inlineStr">
        <is>
          <t xml:space="preserve">4816148173881</t>
        </is>
      </c>
      <c r="Q520" s="3" t="str">
        <f>HYPERLINK("https://modify.by/img/732935727/1.webp","фото")</f>
        <v>фото</v>
      </c>
      <c r="R520" s="3" t="str">
        <f>HYPERLINK("https://modify.by/catalog/svitery/732935727/?utm_source=price&amp;utm_medium=xlsx","открыть")</f>
        <v>открыть</v>
      </c>
    </row>
    <row r="521">
      <c r="A521" t="inlineStr">
        <is>
          <t xml:space="preserve">Мужской</t>
        </is>
      </c>
      <c r="B521" t="inlineStr">
        <is>
          <t xml:space="preserve">Свитеры</t>
        </is>
      </c>
      <c r="C521" t="inlineStr">
        <is>
          <t xml:space="preserve">Свитер оверсайз хлопковый большие размеры, серо-зеленый</t>
        </is>
      </c>
      <c r="D521" t="inlineStr">
        <is>
          <t xml:space="preserve">SW62M10серо-зеленый</t>
        </is>
      </c>
      <c r="E521" t="inlineStr">
        <is>
          <t xml:space="preserve">серо-зеленый</t>
        </is>
      </c>
      <c r="F521" t="inlineStr">
        <is>
          <t xml:space="preserve">58</t>
        </is>
      </c>
      <c r="G521">
        <v>6</v>
      </c>
      <c r="H521" s="2">
        <v>36.0</v>
      </c>
      <c r="I521" t="inlineStr">
        <is>
          <t xml:space="preserve">хлопок 100%</t>
        </is>
      </c>
      <c r="J521"/>
      <c r="K521" t="inlineStr">
        <is>
          <t xml:space="preserve">Бангладеш</t>
        </is>
      </c>
      <c r="L521" t="inlineStr">
        <is>
          <t xml:space="preserve">6110209100</t>
        </is>
      </c>
      <c r="M521" t="inlineStr">
        <is>
          <t xml:space="preserve">Декларация № ЕАЭС № BY/112 11.01. ТР017 122.01 08246, до 19.04.2028</t>
        </is>
      </c>
      <c r="N521" t="inlineStr">
        <is>
          <t xml:space="preserve">36 × 30 × 3</t>
        </is>
      </c>
      <c r="O521" t="inlineStr">
        <is>
          <t xml:space="preserve">0,52</t>
        </is>
      </c>
      <c r="P521" t="inlineStr">
        <is>
          <t xml:space="preserve">4816148173898</t>
        </is>
      </c>
      <c r="Q521" s="3" t="str">
        <f>HYPERLINK("https://modify.by/img/732935727/1.webp","фото")</f>
        <v>фото</v>
      </c>
      <c r="R521" s="3" t="str">
        <f>HYPERLINK("https://modify.by/catalog/svitery/732935727/?utm_source=price&amp;utm_medium=xlsx","открыть")</f>
        <v>открыть</v>
      </c>
    </row>
    <row r="522">
      <c r="A522" t="inlineStr">
        <is>
          <t xml:space="preserve">Мужской</t>
        </is>
      </c>
      <c r="B522" t="inlineStr">
        <is>
          <t xml:space="preserve">Свитеры</t>
        </is>
      </c>
      <c r="C522" t="inlineStr">
        <is>
          <t xml:space="preserve">Свитер оверсайз хлопковый большие размеры, синий меланж</t>
        </is>
      </c>
      <c r="D522" t="inlineStr">
        <is>
          <t xml:space="preserve">SW62M11синий_меланж</t>
        </is>
      </c>
      <c r="E522" t="inlineStr">
        <is>
          <t xml:space="preserve">синий меланж, серо-голубой</t>
        </is>
      </c>
      <c r="F522" t="inlineStr">
        <is>
          <t xml:space="preserve">50</t>
        </is>
      </c>
      <c r="G522">
        <v>9</v>
      </c>
      <c r="H522" s="2">
        <v>32.0</v>
      </c>
      <c r="I522" t="inlineStr">
        <is>
          <t xml:space="preserve">хлопок 100%</t>
        </is>
      </c>
      <c r="J522"/>
      <c r="K522" t="inlineStr">
        <is>
          <t xml:space="preserve">Бангладеш</t>
        </is>
      </c>
      <c r="L522" t="inlineStr">
        <is>
          <t xml:space="preserve">6110209100</t>
        </is>
      </c>
      <c r="M522" t="inlineStr">
        <is>
          <t xml:space="preserve">Декларация № ЕАЭС № BY/112 11.01. ТР017 122.01 08246, до 19.04.2028</t>
        </is>
      </c>
      <c r="N522" t="inlineStr">
        <is>
          <t xml:space="preserve">37 × 30 × 3</t>
        </is>
      </c>
      <c r="O522" t="inlineStr">
        <is>
          <t xml:space="preserve">0,41</t>
        </is>
      </c>
      <c r="P522" t="inlineStr">
        <is>
          <t xml:space="preserve">4816148174468</t>
        </is>
      </c>
      <c r="Q522" s="3" t="str">
        <f>HYPERLINK("https://modify.by/img/744954022/1.webp","фото")</f>
        <v>фото</v>
      </c>
      <c r="R522" s="3" t="str">
        <f>HYPERLINK("https://modify.by/catalog/svitery/744954022/?utm_source=price&amp;utm_medium=xlsx","открыть")</f>
        <v>открыть</v>
      </c>
    </row>
    <row r="523">
      <c r="A523" t="inlineStr">
        <is>
          <t xml:space="preserve">Мужской</t>
        </is>
      </c>
      <c r="B523" t="inlineStr">
        <is>
          <t xml:space="preserve">Свитеры</t>
        </is>
      </c>
      <c r="C523" t="inlineStr">
        <is>
          <t xml:space="preserve">Свитер оверсайз хлопковый большие размеры, синий меланж</t>
        </is>
      </c>
      <c r="D523" t="inlineStr">
        <is>
          <t xml:space="preserve">SW62M11синий_меланж</t>
        </is>
      </c>
      <c r="E523" t="inlineStr">
        <is>
          <t xml:space="preserve">синий меланж, серо-голубой</t>
        </is>
      </c>
      <c r="F523" t="inlineStr">
        <is>
          <t xml:space="preserve">52</t>
        </is>
      </c>
      <c r="G523">
        <v>8</v>
      </c>
      <c r="H523" s="2">
        <v>32.0</v>
      </c>
      <c r="I523" t="inlineStr">
        <is>
          <t xml:space="preserve">хлопок 100%</t>
        </is>
      </c>
      <c r="J523"/>
      <c r="K523" t="inlineStr">
        <is>
          <t xml:space="preserve">Бангладеш</t>
        </is>
      </c>
      <c r="L523" t="inlineStr">
        <is>
          <t xml:space="preserve">6110209100</t>
        </is>
      </c>
      <c r="M523" t="inlineStr">
        <is>
          <t xml:space="preserve">Декларация № ЕАЭС № BY/112 11.01. ТР017 122.01 08246, до 19.04.2028</t>
        </is>
      </c>
      <c r="N523" t="inlineStr">
        <is>
          <t xml:space="preserve">37 × 30 × 3</t>
        </is>
      </c>
      <c r="O523" t="inlineStr">
        <is>
          <t xml:space="preserve">0,41</t>
        </is>
      </c>
      <c r="P523" t="inlineStr">
        <is>
          <t xml:space="preserve">4816148174475</t>
        </is>
      </c>
      <c r="Q523" s="3" t="str">
        <f>HYPERLINK("https://modify.by/img/744954022/1.webp","фото")</f>
        <v>фото</v>
      </c>
      <c r="R523" s="3" t="str">
        <f>HYPERLINK("https://modify.by/catalog/svitery/744954022/?utm_source=price&amp;utm_medium=xlsx","открыть")</f>
        <v>открыть</v>
      </c>
    </row>
    <row r="524">
      <c r="A524" t="inlineStr">
        <is>
          <t xml:space="preserve">Мужской</t>
        </is>
      </c>
      <c r="B524" t="inlineStr">
        <is>
          <t xml:space="preserve">Свитеры</t>
        </is>
      </c>
      <c r="C524" t="inlineStr">
        <is>
          <t xml:space="preserve">Свитер оверсайз хлопковый большие размеры, синий меланж</t>
        </is>
      </c>
      <c r="D524" t="inlineStr">
        <is>
          <t xml:space="preserve">SW62M11синий_меланж</t>
        </is>
      </c>
      <c r="E524" t="inlineStr">
        <is>
          <t xml:space="preserve">синий меланж, серо-голубой</t>
        </is>
      </c>
      <c r="F524" t="inlineStr">
        <is>
          <t xml:space="preserve">54</t>
        </is>
      </c>
      <c r="G524">
        <v>17</v>
      </c>
      <c r="H524" s="2">
        <v>32.0</v>
      </c>
      <c r="I524" t="inlineStr">
        <is>
          <t xml:space="preserve">хлопок 100%</t>
        </is>
      </c>
      <c r="J524"/>
      <c r="K524" t="inlineStr">
        <is>
          <t xml:space="preserve">Бангладеш</t>
        </is>
      </c>
      <c r="L524" t="inlineStr">
        <is>
          <t xml:space="preserve">6110209100</t>
        </is>
      </c>
      <c r="M524" t="inlineStr">
        <is>
          <t xml:space="preserve">Декларация № ЕАЭС № BY/112 11.01. ТР017 122.01 08246, до 19.04.2028</t>
        </is>
      </c>
      <c r="N524" t="inlineStr">
        <is>
          <t xml:space="preserve">37 × 30 × 3</t>
        </is>
      </c>
      <c r="O524" t="inlineStr">
        <is>
          <t xml:space="preserve">0,41</t>
        </is>
      </c>
      <c r="P524" t="inlineStr">
        <is>
          <t xml:space="preserve">4816148174482</t>
        </is>
      </c>
      <c r="Q524" s="3" t="str">
        <f>HYPERLINK("https://modify.by/img/744954022/1.webp","фото")</f>
        <v>фото</v>
      </c>
      <c r="R524" s="3" t="str">
        <f>HYPERLINK("https://modify.by/catalog/svitery/744954022/?utm_source=price&amp;utm_medium=xlsx","открыть")</f>
        <v>открыть</v>
      </c>
    </row>
    <row r="525">
      <c r="A525" t="inlineStr">
        <is>
          <t xml:space="preserve">Мужской</t>
        </is>
      </c>
      <c r="B525" t="inlineStr">
        <is>
          <t xml:space="preserve">Свитеры</t>
        </is>
      </c>
      <c r="C525" t="inlineStr">
        <is>
          <t xml:space="preserve">Свитер оверсайз хлопковый большие размеры, синий меланж</t>
        </is>
      </c>
      <c r="D525" t="inlineStr">
        <is>
          <t xml:space="preserve">SW62M11синий_меланж</t>
        </is>
      </c>
      <c r="E525" t="inlineStr">
        <is>
          <t xml:space="preserve">синий меланж, серо-голубой</t>
        </is>
      </c>
      <c r="F525" t="inlineStr">
        <is>
          <t xml:space="preserve">56</t>
        </is>
      </c>
      <c r="G525">
        <v>45</v>
      </c>
      <c r="H525" s="2">
        <v>32.0</v>
      </c>
      <c r="I525" t="inlineStr">
        <is>
          <t xml:space="preserve">хлопок 100%</t>
        </is>
      </c>
      <c r="J525"/>
      <c r="K525" t="inlineStr">
        <is>
          <t xml:space="preserve">Бангладеш</t>
        </is>
      </c>
      <c r="L525" t="inlineStr">
        <is>
          <t xml:space="preserve">6110209100</t>
        </is>
      </c>
      <c r="M525" t="inlineStr">
        <is>
          <t xml:space="preserve">Декларация № ЕАЭС № BY/112 11.01. ТР017 122.01 08246, до 19.04.2028</t>
        </is>
      </c>
      <c r="N525" t="inlineStr">
        <is>
          <t xml:space="preserve">37 × 30 × 3</t>
        </is>
      </c>
      <c r="O525" t="inlineStr">
        <is>
          <t xml:space="preserve">0,41</t>
        </is>
      </c>
      <c r="P525" t="inlineStr">
        <is>
          <t xml:space="preserve">4816148174499</t>
        </is>
      </c>
      <c r="Q525" s="3" t="str">
        <f>HYPERLINK("https://modify.by/img/744954022/1.webp","фото")</f>
        <v>фото</v>
      </c>
      <c r="R525" s="3" t="str">
        <f>HYPERLINK("https://modify.by/catalog/svitery/744954022/?utm_source=price&amp;utm_medium=xlsx","открыть")</f>
        <v>открыть</v>
      </c>
    </row>
    <row r="526">
      <c r="A526" t="inlineStr">
        <is>
          <t xml:space="preserve">Мужской</t>
        </is>
      </c>
      <c r="B526" t="inlineStr">
        <is>
          <t xml:space="preserve">Свитеры</t>
        </is>
      </c>
      <c r="C526" t="inlineStr">
        <is>
          <t xml:space="preserve">Свитер оверсайз хлопковый большие размеры, синий меланж</t>
        </is>
      </c>
      <c r="D526" t="inlineStr">
        <is>
          <t xml:space="preserve">SW62M11синий_меланж</t>
        </is>
      </c>
      <c r="E526" t="inlineStr">
        <is>
          <t xml:space="preserve">синий меланж, серо-голубой</t>
        </is>
      </c>
      <c r="F526" t="inlineStr">
        <is>
          <t xml:space="preserve">58</t>
        </is>
      </c>
      <c r="G526">
        <v>16</v>
      </c>
      <c r="H526" s="2">
        <v>32.0</v>
      </c>
      <c r="I526" t="inlineStr">
        <is>
          <t xml:space="preserve">хлопок 100%</t>
        </is>
      </c>
      <c r="J526"/>
      <c r="K526" t="inlineStr">
        <is>
          <t xml:space="preserve">Бангладеш</t>
        </is>
      </c>
      <c r="L526" t="inlineStr">
        <is>
          <t xml:space="preserve">6110209100</t>
        </is>
      </c>
      <c r="M526" t="inlineStr">
        <is>
          <t xml:space="preserve">Декларация № ЕАЭС № BY/112 11.01. ТР017 122.01 08246, до 19.04.2028</t>
        </is>
      </c>
      <c r="N526" t="inlineStr">
        <is>
          <t xml:space="preserve">37 × 30 × 3</t>
        </is>
      </c>
      <c r="O526" t="inlineStr">
        <is>
          <t xml:space="preserve">0,41</t>
        </is>
      </c>
      <c r="P526" t="inlineStr">
        <is>
          <t xml:space="preserve">4816148174505</t>
        </is>
      </c>
      <c r="Q526" s="3" t="str">
        <f>HYPERLINK("https://modify.by/img/744954022/1.webp","фото")</f>
        <v>фото</v>
      </c>
      <c r="R526" s="3" t="str">
        <f>HYPERLINK("https://modify.by/catalog/svitery/744954022/?utm_source=price&amp;utm_medium=xlsx","открыть")</f>
        <v>открыть</v>
      </c>
    </row>
    <row r="527">
      <c r="A527" t="inlineStr">
        <is>
          <t xml:space="preserve">Мужской</t>
        </is>
      </c>
      <c r="B527" t="inlineStr">
        <is>
          <t xml:space="preserve">Свитеры</t>
        </is>
      </c>
      <c r="C527" t="inlineStr">
        <is>
          <t xml:space="preserve">Свитер оверсайз хлопковый очень большие размеры, бежевый</t>
        </is>
      </c>
      <c r="D527" t="inlineStr">
        <is>
          <t xml:space="preserve">SW62M10_big_бежевый</t>
        </is>
      </c>
      <c r="E527" t="inlineStr">
        <is>
          <t xml:space="preserve">бежевый, зернистый светло-бежевый</t>
        </is>
      </c>
      <c r="F527" t="inlineStr">
        <is>
          <t xml:space="preserve">60</t>
        </is>
      </c>
      <c r="G527">
        <v>7</v>
      </c>
      <c r="H527" s="2">
        <v>36.0</v>
      </c>
      <c r="I527" t="inlineStr">
        <is>
          <t xml:space="preserve">хлопок 100%</t>
        </is>
      </c>
      <c r="J527"/>
      <c r="K527" t="inlineStr">
        <is>
          <t xml:space="preserve">Бангладеш</t>
        </is>
      </c>
      <c r="L527" t="inlineStr">
        <is>
          <t xml:space="preserve">6110209100</t>
        </is>
      </c>
      <c r="M527" t="inlineStr">
        <is>
          <t xml:space="preserve">Декларация № ЕАЭС № BY/112 11.01. ТР017 122.01 08246, до 19.04.2028</t>
        </is>
      </c>
      <c r="N527" t="inlineStr">
        <is>
          <t xml:space="preserve">37 × 30 × 4</t>
        </is>
      </c>
      <c r="O527" t="inlineStr">
        <is>
          <t xml:space="preserve">0,68</t>
        </is>
      </c>
      <c r="P527" t="inlineStr">
        <is>
          <t xml:space="preserve">4816148174154</t>
        </is>
      </c>
      <c r="Q527" s="3" t="str">
        <f>HYPERLINK("https://modify.by/img/732935754/1.webp","фото")</f>
        <v>фото</v>
      </c>
      <c r="R527" s="3" t="str">
        <f>HYPERLINK("https://modify.by/catalog/svitery/732935754/?utm_source=price&amp;utm_medium=xlsx","открыть")</f>
        <v>открыть</v>
      </c>
    </row>
    <row r="528">
      <c r="A528" t="inlineStr">
        <is>
          <t xml:space="preserve">Мужской</t>
        </is>
      </c>
      <c r="B528" t="inlineStr">
        <is>
          <t xml:space="preserve">Свитеры</t>
        </is>
      </c>
      <c r="C528" t="inlineStr">
        <is>
          <t xml:space="preserve">Свитер оверсайз хлопковый очень большие размеры, светло-синий</t>
        </is>
      </c>
      <c r="D528" t="inlineStr">
        <is>
          <t xml:space="preserve">SW62M10_big_синий</t>
        </is>
      </c>
      <c r="E528" t="inlineStr">
        <is>
          <t xml:space="preserve">светло-синий, пастельно-синий</t>
        </is>
      </c>
      <c r="F528" t="inlineStr">
        <is>
          <t xml:space="preserve">60</t>
        </is>
      </c>
      <c r="G528">
        <v>25</v>
      </c>
      <c r="H528" s="2">
        <v>36.0</v>
      </c>
      <c r="I528" t="inlineStr">
        <is>
          <t xml:space="preserve">хлопок 100%</t>
        </is>
      </c>
      <c r="J528"/>
      <c r="K528" t="inlineStr">
        <is>
          <t xml:space="preserve">Бангладеш</t>
        </is>
      </c>
      <c r="L528" t="inlineStr">
        <is>
          <t xml:space="preserve">6110209100</t>
        </is>
      </c>
      <c r="M528" t="inlineStr">
        <is>
          <t xml:space="preserve">Декларация № ЕАЭС № BY/112 11.01. ТР017 122.01 08246, до 19.04.2028</t>
        </is>
      </c>
      <c r="N528" t="inlineStr">
        <is>
          <t xml:space="preserve">37 × 30 × 4</t>
        </is>
      </c>
      <c r="O528" t="inlineStr">
        <is>
          <t xml:space="preserve">0,68</t>
        </is>
      </c>
      <c r="P528" t="inlineStr">
        <is>
          <t xml:space="preserve">4816148174277</t>
        </is>
      </c>
      <c r="Q528" s="3" t="str">
        <f>HYPERLINK("https://modify.by/img/735649643/1.webp","фото")</f>
        <v>фото</v>
      </c>
      <c r="R528" s="3" t="str">
        <f>HYPERLINK("https://modify.by/catalog/svitery/735649643/?utm_source=price&amp;utm_medium=xlsx","открыть")</f>
        <v>открыть</v>
      </c>
    </row>
    <row r="529">
      <c r="A529" t="inlineStr">
        <is>
          <t xml:space="preserve">Мужской</t>
        </is>
      </c>
      <c r="B529" t="inlineStr">
        <is>
          <t xml:space="preserve">Свитеры</t>
        </is>
      </c>
      <c r="C529" t="inlineStr">
        <is>
          <t xml:space="preserve">Свитер оверсайз хлопковый очень большие размеры, светло-синий</t>
        </is>
      </c>
      <c r="D529" t="inlineStr">
        <is>
          <t xml:space="preserve">SW62M10_big_синий</t>
        </is>
      </c>
      <c r="E529" t="inlineStr">
        <is>
          <t xml:space="preserve">светло-синий, пастельно-синий</t>
        </is>
      </c>
      <c r="F529" t="inlineStr">
        <is>
          <t xml:space="preserve">62</t>
        </is>
      </c>
      <c r="G529">
        <v>10</v>
      </c>
      <c r="H529" s="2">
        <v>36.0</v>
      </c>
      <c r="I529" t="inlineStr">
        <is>
          <t xml:space="preserve">хлопок 100%</t>
        </is>
      </c>
      <c r="J529"/>
      <c r="K529" t="inlineStr">
        <is>
          <t xml:space="preserve">Бангладеш</t>
        </is>
      </c>
      <c r="L529" t="inlineStr">
        <is>
          <t xml:space="preserve">6110209100</t>
        </is>
      </c>
      <c r="M529" t="inlineStr">
        <is>
          <t xml:space="preserve">Декларация № ЕАЭС № BY/112 11.01. ТР017 122.01 08246, до 19.04.2028</t>
        </is>
      </c>
      <c r="N529" t="inlineStr">
        <is>
          <t xml:space="preserve">37 × 30 × 4</t>
        </is>
      </c>
      <c r="O529" t="inlineStr">
        <is>
          <t xml:space="preserve">0,68</t>
        </is>
      </c>
      <c r="P529" t="inlineStr">
        <is>
          <t xml:space="preserve">4816148174284</t>
        </is>
      </c>
      <c r="Q529" s="3" t="str">
        <f>HYPERLINK("https://modify.by/img/735649643/1.webp","фото")</f>
        <v>фото</v>
      </c>
      <c r="R529" s="3" t="str">
        <f>HYPERLINK("https://modify.by/catalog/svitery/735649643/?utm_source=price&amp;utm_medium=xlsx","открыть")</f>
        <v>открыть</v>
      </c>
    </row>
    <row r="530">
      <c r="A530" t="inlineStr">
        <is>
          <t xml:space="preserve">Мужской</t>
        </is>
      </c>
      <c r="B530" t="inlineStr">
        <is>
          <t xml:space="preserve">Свитеры</t>
        </is>
      </c>
      <c r="C530" t="inlineStr">
        <is>
          <t xml:space="preserve">Свитер оверсайз хлопковый очень большие размеры, серо-зеленый</t>
        </is>
      </c>
      <c r="D530" t="inlineStr">
        <is>
          <t xml:space="preserve">SW62M10_big_серо-зеленый</t>
        </is>
      </c>
      <c r="E530" t="inlineStr">
        <is>
          <t xml:space="preserve">серо-зеленый</t>
        </is>
      </c>
      <c r="F530" t="inlineStr">
        <is>
          <t xml:space="preserve">60</t>
        </is>
      </c>
      <c r="G530">
        <v>3</v>
      </c>
      <c r="H530" s="2">
        <v>36.0</v>
      </c>
      <c r="I530" t="inlineStr">
        <is>
          <t xml:space="preserve">хлопок 100%</t>
        </is>
      </c>
      <c r="J530"/>
      <c r="K530" t="inlineStr">
        <is>
          <t xml:space="preserve">Бангладеш</t>
        </is>
      </c>
      <c r="L530" t="inlineStr">
        <is>
          <t xml:space="preserve">6110209100</t>
        </is>
      </c>
      <c r="M530" t="inlineStr">
        <is>
          <t xml:space="preserve">Декларация № ЕАЭС № BY/112 11.01. ТР017 122.01 08246, до 19.04.2028</t>
        </is>
      </c>
      <c r="N530" t="inlineStr">
        <is>
          <t xml:space="preserve">37 × 30 × 4</t>
        </is>
      </c>
      <c r="O530" t="inlineStr">
        <is>
          <t xml:space="preserve">0,68</t>
        </is>
      </c>
      <c r="P530" t="inlineStr">
        <is>
          <t xml:space="preserve">4816148173904</t>
        </is>
      </c>
      <c r="Q530" s="3" t="str">
        <f>HYPERLINK("https://modify.by/img/732935735/1.webp","фото")</f>
        <v>фото</v>
      </c>
      <c r="R530" s="3" t="str">
        <f>HYPERLINK("https://modify.by/catalog/svitery/732935735/?utm_source=price&amp;utm_medium=xlsx","открыть")</f>
        <v>открыть</v>
      </c>
    </row>
    <row r="531">
      <c r="A531" t="inlineStr">
        <is>
          <t xml:space="preserve">Мужской</t>
        </is>
      </c>
      <c r="B531" t="inlineStr">
        <is>
          <t xml:space="preserve">Свитеры</t>
        </is>
      </c>
      <c r="C531" t="inlineStr">
        <is>
          <t xml:space="preserve">Свитер оверсайз хлопковый, бежевый</t>
        </is>
      </c>
      <c r="D531" t="inlineStr">
        <is>
          <t xml:space="preserve">SW62M10бежевый</t>
        </is>
      </c>
      <c r="E531" t="inlineStr">
        <is>
          <t xml:space="preserve">бежевый</t>
        </is>
      </c>
      <c r="F531" t="inlineStr">
        <is>
          <t xml:space="preserve">52</t>
        </is>
      </c>
      <c r="G531">
        <v>3</v>
      </c>
      <c r="H531" s="2">
        <v>36.0</v>
      </c>
      <c r="I531" t="inlineStr">
        <is>
          <t xml:space="preserve">хлопок 100%</t>
        </is>
      </c>
      <c r="J531"/>
      <c r="K531" t="inlineStr">
        <is>
          <t xml:space="preserve">Бангладеш</t>
        </is>
      </c>
      <c r="L531" t="inlineStr">
        <is>
          <t xml:space="preserve">6110209100</t>
        </is>
      </c>
      <c r="M531" t="inlineStr">
        <is>
          <t xml:space="preserve">Декларация № ЕАЭС № BY/112 11.01. ТР017 122.01 08246, до 19.04.2028</t>
        </is>
      </c>
      <c r="N531" t="inlineStr">
        <is>
          <t xml:space="preserve">36 × 30 × 3</t>
        </is>
      </c>
      <c r="O531" t="inlineStr">
        <is>
          <t xml:space="preserve">0,52</t>
        </is>
      </c>
      <c r="P531" t="inlineStr">
        <is>
          <t xml:space="preserve">4816148174116</t>
        </is>
      </c>
      <c r="Q531" s="3" t="str">
        <f>HYPERLINK("https://modify.by/img/732935747/1.webp","фото")</f>
        <v>фото</v>
      </c>
      <c r="R531" s="3" t="str">
        <f>HYPERLINK("https://modify.by/catalog/svitery/732935747/?utm_source=price&amp;utm_medium=xlsx","открыть")</f>
        <v>открыть</v>
      </c>
    </row>
    <row r="532">
      <c r="A532" t="inlineStr">
        <is>
          <t xml:space="preserve">Мужской</t>
        </is>
      </c>
      <c r="B532" t="inlineStr">
        <is>
          <t xml:space="preserve">Свитеры</t>
        </is>
      </c>
      <c r="C532" t="inlineStr">
        <is>
          <t xml:space="preserve">Свитер оверсайз хлопковый, бежевый</t>
        </is>
      </c>
      <c r="D532" t="inlineStr">
        <is>
          <t xml:space="preserve">SW62M10бежевый</t>
        </is>
      </c>
      <c r="E532" t="inlineStr">
        <is>
          <t xml:space="preserve">бежевый</t>
        </is>
      </c>
      <c r="F532" t="inlineStr">
        <is>
          <t xml:space="preserve">54</t>
        </is>
      </c>
      <c r="G532">
        <v>9</v>
      </c>
      <c r="H532" s="2">
        <v>36.0</v>
      </c>
      <c r="I532" t="inlineStr">
        <is>
          <t xml:space="preserve">хлопок 100%</t>
        </is>
      </c>
      <c r="J532"/>
      <c r="K532" t="inlineStr">
        <is>
          <t xml:space="preserve">Бангладеш</t>
        </is>
      </c>
      <c r="L532" t="inlineStr">
        <is>
          <t xml:space="preserve">6110209100</t>
        </is>
      </c>
      <c r="M532" t="inlineStr">
        <is>
          <t xml:space="preserve">Декларация № ЕАЭС № BY/112 11.01. ТР017 122.01 08246, до 19.04.2028</t>
        </is>
      </c>
      <c r="N532" t="inlineStr">
        <is>
          <t xml:space="preserve">36 × 30 × 3</t>
        </is>
      </c>
      <c r="O532" t="inlineStr">
        <is>
          <t xml:space="preserve">0,52</t>
        </is>
      </c>
      <c r="P532" t="inlineStr">
        <is>
          <t xml:space="preserve">4816148174123</t>
        </is>
      </c>
      <c r="Q532" s="3" t="str">
        <f>HYPERLINK("https://modify.by/img/732935747/1.webp","фото")</f>
        <v>фото</v>
      </c>
      <c r="R532" s="3" t="str">
        <f>HYPERLINK("https://modify.by/catalog/svitery/732935747/?utm_source=price&amp;utm_medium=xlsx","открыть")</f>
        <v>открыть</v>
      </c>
    </row>
    <row r="533">
      <c r="A533" t="inlineStr">
        <is>
          <t xml:space="preserve">Мужской</t>
        </is>
      </c>
      <c r="B533" t="inlineStr">
        <is>
          <t xml:space="preserve">Свитеры</t>
        </is>
      </c>
      <c r="C533" t="inlineStr">
        <is>
          <t xml:space="preserve">Свитер оверсайз хлопковый, бежевый</t>
        </is>
      </c>
      <c r="D533" t="inlineStr">
        <is>
          <t xml:space="preserve">SW62M10бежевый</t>
        </is>
      </c>
      <c r="E533" t="inlineStr">
        <is>
          <t xml:space="preserve">бежевый</t>
        </is>
      </c>
      <c r="F533" t="inlineStr">
        <is>
          <t xml:space="preserve">56</t>
        </is>
      </c>
      <c r="G533">
        <v>7</v>
      </c>
      <c r="H533" s="2">
        <v>36.0</v>
      </c>
      <c r="I533" t="inlineStr">
        <is>
          <t xml:space="preserve">хлопок 100%</t>
        </is>
      </c>
      <c r="J533"/>
      <c r="K533" t="inlineStr">
        <is>
          <t xml:space="preserve">Бангладеш</t>
        </is>
      </c>
      <c r="L533" t="inlineStr">
        <is>
          <t xml:space="preserve">6110209100</t>
        </is>
      </c>
      <c r="M533" t="inlineStr">
        <is>
          <t xml:space="preserve">Декларация № ЕАЭС № BY/112 11.01. ТР017 122.01 08246, до 19.04.2028</t>
        </is>
      </c>
      <c r="N533" t="inlineStr">
        <is>
          <t xml:space="preserve">36 × 30 × 3</t>
        </is>
      </c>
      <c r="O533" t="inlineStr">
        <is>
          <t xml:space="preserve">0,52</t>
        </is>
      </c>
      <c r="P533" t="inlineStr">
        <is>
          <t xml:space="preserve">4816148174130</t>
        </is>
      </c>
      <c r="Q533" s="3" t="str">
        <f>HYPERLINK("https://modify.by/img/732935747/1.webp","фото")</f>
        <v>фото</v>
      </c>
      <c r="R533" s="3" t="str">
        <f>HYPERLINK("https://modify.by/catalog/svitery/732935747/?utm_source=price&amp;utm_medium=xlsx","открыть")</f>
        <v>открыть</v>
      </c>
    </row>
    <row r="534">
      <c r="A534" t="inlineStr">
        <is>
          <t xml:space="preserve">Мужской</t>
        </is>
      </c>
      <c r="B534" t="inlineStr">
        <is>
          <t xml:space="preserve">Свитеры</t>
        </is>
      </c>
      <c r="C534" t="inlineStr">
        <is>
          <t xml:space="preserve">Свитер оверсайз хлопковый, бежевый</t>
        </is>
      </c>
      <c r="D534" t="inlineStr">
        <is>
          <t xml:space="preserve">SW62M10бежевый</t>
        </is>
      </c>
      <c r="E534" t="inlineStr">
        <is>
          <t xml:space="preserve">бежевый</t>
        </is>
      </c>
      <c r="F534" t="inlineStr">
        <is>
          <t xml:space="preserve">58</t>
        </is>
      </c>
      <c r="G534">
        <v>7</v>
      </c>
      <c r="H534" s="2">
        <v>36.0</v>
      </c>
      <c r="I534" t="inlineStr">
        <is>
          <t xml:space="preserve">хлопок 100%</t>
        </is>
      </c>
      <c r="J534"/>
      <c r="K534" t="inlineStr">
        <is>
          <t xml:space="preserve">Бангладеш</t>
        </is>
      </c>
      <c r="L534" t="inlineStr">
        <is>
          <t xml:space="preserve">6110209100</t>
        </is>
      </c>
      <c r="M534" t="inlineStr">
        <is>
          <t xml:space="preserve">Декларация № ЕАЭС № BY/112 11.01. ТР017 122.01 08246, до 19.04.2028</t>
        </is>
      </c>
      <c r="N534" t="inlineStr">
        <is>
          <t xml:space="preserve">36 × 30 × 3</t>
        </is>
      </c>
      <c r="O534" t="inlineStr">
        <is>
          <t xml:space="preserve">0,52</t>
        </is>
      </c>
      <c r="P534" t="inlineStr">
        <is>
          <t xml:space="preserve">4816148174147</t>
        </is>
      </c>
      <c r="Q534" s="3" t="str">
        <f>HYPERLINK("https://modify.by/img/732935747/1.webp","фото")</f>
        <v>фото</v>
      </c>
      <c r="R534" s="3" t="str">
        <f>HYPERLINK("https://modify.by/catalog/svitery/732935747/?utm_source=price&amp;utm_medium=xlsx","открыть")</f>
        <v>открыть</v>
      </c>
    </row>
    <row r="535">
      <c r="A535" t="inlineStr">
        <is>
          <t xml:space="preserve">Мужской</t>
        </is>
      </c>
      <c r="B535" t="inlineStr">
        <is>
          <t xml:space="preserve">Свитеры</t>
        </is>
      </c>
      <c r="C535" t="inlineStr">
        <is>
          <t xml:space="preserve">Свитер оверсайз хлопковый, коричнево-серый</t>
        </is>
      </c>
      <c r="D535" t="inlineStr">
        <is>
          <t xml:space="preserve">SW62M10коричнево-серый</t>
        </is>
      </c>
      <c r="E535" t="inlineStr">
        <is>
          <t xml:space="preserve">коричнево-серый</t>
        </is>
      </c>
      <c r="F535" t="inlineStr">
        <is>
          <t xml:space="preserve">52</t>
        </is>
      </c>
      <c r="G535">
        <v>7</v>
      </c>
      <c r="H535" s="2">
        <v>36.0</v>
      </c>
      <c r="I535" t="inlineStr">
        <is>
          <t xml:space="preserve">хлопок 100%</t>
        </is>
      </c>
      <c r="J535"/>
      <c r="K535" t="inlineStr">
        <is>
          <t xml:space="preserve">Бангладеш</t>
        </is>
      </c>
      <c r="L535" t="inlineStr">
        <is>
          <t xml:space="preserve">6110209100</t>
        </is>
      </c>
      <c r="M535" t="inlineStr">
        <is>
          <t xml:space="preserve">Декларация № ЕАЭС № BY/112 11.01. ТР017 122.01 08246, до 19.04.2028</t>
        </is>
      </c>
      <c r="N535" t="inlineStr">
        <is>
          <t xml:space="preserve">36 × 30 × 3</t>
        </is>
      </c>
      <c r="O535" t="inlineStr">
        <is>
          <t xml:space="preserve">0,52</t>
        </is>
      </c>
      <c r="P535" t="inlineStr">
        <is>
          <t xml:space="preserve">4816148173997</t>
        </is>
      </c>
      <c r="Q535" s="3" t="str">
        <f>HYPERLINK("https://modify.by/img/732935761/1.webp","фото")</f>
        <v>фото</v>
      </c>
      <c r="R535" s="3" t="str">
        <f>HYPERLINK("https://modify.by/catalog/svitery/732935761/?utm_source=price&amp;utm_medium=xlsx","открыть")</f>
        <v>открыть</v>
      </c>
    </row>
    <row r="536">
      <c r="A536" t="inlineStr">
        <is>
          <t xml:space="preserve">Мужской</t>
        </is>
      </c>
      <c r="B536" t="inlineStr">
        <is>
          <t xml:space="preserve">Свитеры</t>
        </is>
      </c>
      <c r="C536" t="inlineStr">
        <is>
          <t xml:space="preserve">Свитер оверсайз хлопковый, коричнево-серый</t>
        </is>
      </c>
      <c r="D536" t="inlineStr">
        <is>
          <t xml:space="preserve">SW62M10коричнево-серый</t>
        </is>
      </c>
      <c r="E536" t="inlineStr">
        <is>
          <t xml:space="preserve">коричнево-серый</t>
        </is>
      </c>
      <c r="F536" t="inlineStr">
        <is>
          <t xml:space="preserve">56</t>
        </is>
      </c>
      <c r="G536">
        <v>13</v>
      </c>
      <c r="H536" s="2">
        <v>36.0</v>
      </c>
      <c r="I536" t="inlineStr">
        <is>
          <t xml:space="preserve">хлопок 100%</t>
        </is>
      </c>
      <c r="J536"/>
      <c r="K536" t="inlineStr">
        <is>
          <t xml:space="preserve">Бангладеш</t>
        </is>
      </c>
      <c r="L536" t="inlineStr">
        <is>
          <t xml:space="preserve">6110209100</t>
        </is>
      </c>
      <c r="M536" t="inlineStr">
        <is>
          <t xml:space="preserve">Декларация № ЕАЭС № BY/112 11.01. ТР017 122.01 08246, до 19.04.2028</t>
        </is>
      </c>
      <c r="N536" t="inlineStr">
        <is>
          <t xml:space="preserve">36 × 30 × 3</t>
        </is>
      </c>
      <c r="O536" t="inlineStr">
        <is>
          <t xml:space="preserve">0,52</t>
        </is>
      </c>
      <c r="P536" t="inlineStr">
        <is>
          <t xml:space="preserve">4816148174017</t>
        </is>
      </c>
      <c r="Q536" s="3" t="str">
        <f>HYPERLINK("https://modify.by/img/732935761/1.webp","фото")</f>
        <v>фото</v>
      </c>
      <c r="R536" s="3" t="str">
        <f>HYPERLINK("https://modify.by/catalog/svitery/732935761/?utm_source=price&amp;utm_medium=xlsx","открыть")</f>
        <v>открыть</v>
      </c>
    </row>
    <row r="537">
      <c r="A537" t="inlineStr">
        <is>
          <t xml:space="preserve">Мужской</t>
        </is>
      </c>
      <c r="B537" t="inlineStr">
        <is>
          <t xml:space="preserve">Свитеры</t>
        </is>
      </c>
      <c r="C537" t="inlineStr">
        <is>
          <t xml:space="preserve">Свитер оверсайз хлопковый, коричнево-серый</t>
        </is>
      </c>
      <c r="D537" t="inlineStr">
        <is>
          <t xml:space="preserve">SW62M10коричнево-серый</t>
        </is>
      </c>
      <c r="E537" t="inlineStr">
        <is>
          <t xml:space="preserve">коричнево-серый</t>
        </is>
      </c>
      <c r="F537" t="inlineStr">
        <is>
          <t xml:space="preserve">58</t>
        </is>
      </c>
      <c r="G537">
        <v>1</v>
      </c>
      <c r="H537" s="2">
        <v>36.0</v>
      </c>
      <c r="I537" t="inlineStr">
        <is>
          <t xml:space="preserve">хлопок 100%</t>
        </is>
      </c>
      <c r="J537"/>
      <c r="K537" t="inlineStr">
        <is>
          <t xml:space="preserve">Бангладеш</t>
        </is>
      </c>
      <c r="L537" t="inlineStr">
        <is>
          <t xml:space="preserve">6110209100</t>
        </is>
      </c>
      <c r="M537" t="inlineStr">
        <is>
          <t xml:space="preserve">Декларация № ЕАЭС № BY/112 11.01. ТР017 122.01 08246, до 19.04.2028</t>
        </is>
      </c>
      <c r="N537" t="inlineStr">
        <is>
          <t xml:space="preserve">36 × 30 × 3</t>
        </is>
      </c>
      <c r="O537" t="inlineStr">
        <is>
          <t xml:space="preserve">0,52</t>
        </is>
      </c>
      <c r="P537" t="inlineStr">
        <is>
          <t xml:space="preserve">4816148174024</t>
        </is>
      </c>
      <c r="Q537" s="3" t="str">
        <f>HYPERLINK("https://modify.by/img/732935761/1.webp","фото")</f>
        <v>фото</v>
      </c>
      <c r="R537" s="3" t="str">
        <f>HYPERLINK("https://modify.by/catalog/svitery/732935761/?utm_source=price&amp;utm_medium=xlsx","открыть")</f>
        <v>открыть</v>
      </c>
    </row>
    <row r="538">
      <c r="A538" t="inlineStr">
        <is>
          <t xml:space="preserve">Мужской</t>
        </is>
      </c>
      <c r="B538" t="inlineStr">
        <is>
          <t xml:space="preserve">Свитеры</t>
        </is>
      </c>
      <c r="C538" t="inlineStr">
        <is>
          <t xml:space="preserve">Свитер с V образным вырезом однотонный</t>
        </is>
      </c>
      <c r="D538" t="inlineStr">
        <is>
          <t xml:space="preserve">SW22M23Песочный</t>
        </is>
      </c>
      <c r="E538" t="inlineStr">
        <is>
          <t xml:space="preserve">песочный</t>
        </is>
      </c>
      <c r="F538" t="inlineStr">
        <is>
          <t xml:space="preserve">52/182</t>
        </is>
      </c>
      <c r="G538">
        <v>1</v>
      </c>
      <c r="H538" s="2">
        <v>25.0</v>
      </c>
      <c r="I538" t="inlineStr">
        <is>
          <t xml:space="preserve">хлопок 100%</t>
        </is>
      </c>
      <c r="J538"/>
      <c r="K538" t="inlineStr">
        <is>
          <t xml:space="preserve">Бангладеш</t>
        </is>
      </c>
      <c r="L538" t="inlineStr">
        <is>
          <t xml:space="preserve">6110209100</t>
        </is>
      </c>
      <c r="M538" t="inlineStr">
        <is>
          <t xml:space="preserve">по запросу</t>
        </is>
      </c>
      <c r="N538"/>
      <c r="O538"/>
      <c r="P538" t="inlineStr">
        <is>
          <t xml:space="preserve">2016957047232</t>
        </is>
      </c>
      <c r="Q538" s="3" t="str">
        <f>HYPERLINK("https://modify.by/img/137996785/1.webp","фото")</f>
        <v>фото</v>
      </c>
      <c r="R538" s="3" t="str">
        <f>HYPERLINK("https://modify.by/catalog/svitery/137996785/?utm_source=price&amp;utm_medium=xlsx","открыть")</f>
        <v>открыть</v>
      </c>
    </row>
    <row r="539">
      <c r="A539" t="inlineStr">
        <is>
          <t xml:space="preserve">Мужской</t>
        </is>
      </c>
      <c r="B539" t="inlineStr">
        <is>
          <t xml:space="preserve">Свитеры</t>
        </is>
      </c>
      <c r="C539" t="inlineStr">
        <is>
          <t xml:space="preserve">Свитер с воротником на молнии базовый хлопковый, бежевый</t>
        </is>
      </c>
      <c r="D539" t="inlineStr">
        <is>
          <t xml:space="preserve">SW62M01бежевый</t>
        </is>
      </c>
      <c r="E539" t="inlineStr">
        <is>
          <t xml:space="preserve">бежевый</t>
        </is>
      </c>
      <c r="F539" t="inlineStr">
        <is>
          <t xml:space="preserve">48</t>
        </is>
      </c>
      <c r="G539">
        <v>3</v>
      </c>
      <c r="H539" s="2">
        <v>40.0</v>
      </c>
      <c r="I539" t="inlineStr">
        <is>
          <t xml:space="preserve">хлопок 60%, ПЭ 40 %</t>
        </is>
      </c>
      <c r="J539"/>
      <c r="K539" t="inlineStr">
        <is>
          <t xml:space="preserve">Бангладеш</t>
        </is>
      </c>
      <c r="L539" t="inlineStr">
        <is>
          <t xml:space="preserve">6110209100</t>
        </is>
      </c>
      <c r="M539" t="inlineStr">
        <is>
          <t xml:space="preserve">Декларация № ЕАЭС № BY/112 11.01. ТР017 122.01 08246, до 19.04.2028</t>
        </is>
      </c>
      <c r="N539" t="inlineStr">
        <is>
          <t xml:space="preserve">34 × 30 × 3</t>
        </is>
      </c>
      <c r="O539" t="inlineStr">
        <is>
          <t xml:space="preserve">0,62</t>
        </is>
      </c>
      <c r="P539" t="inlineStr">
        <is>
          <t xml:space="preserve">4816148174437</t>
        </is>
      </c>
      <c r="Q539" s="3" t="str">
        <f>HYPERLINK("https://modify.by/img/742337535/1.webp","фото")</f>
        <v>фото</v>
      </c>
      <c r="R539" s="3" t="str">
        <f>HYPERLINK("https://modify.by/catalog/svitery/742337535/?utm_source=price&amp;utm_medium=xlsx","открыть")</f>
        <v>открыть</v>
      </c>
    </row>
    <row r="540">
      <c r="A540" t="inlineStr">
        <is>
          <t xml:space="preserve">Мужской</t>
        </is>
      </c>
      <c r="B540" t="inlineStr">
        <is>
          <t xml:space="preserve">Свитеры</t>
        </is>
      </c>
      <c r="C540" t="inlineStr">
        <is>
          <t xml:space="preserve">Свитер с воротником на молнии базовый хлопковый, бежевый</t>
        </is>
      </c>
      <c r="D540" t="inlineStr">
        <is>
          <t xml:space="preserve">SW62M01бежевый</t>
        </is>
      </c>
      <c r="E540" t="inlineStr">
        <is>
          <t xml:space="preserve">бежевый</t>
        </is>
      </c>
      <c r="F540" t="inlineStr">
        <is>
          <t xml:space="preserve">50</t>
        </is>
      </c>
      <c r="G540">
        <v>24</v>
      </c>
      <c r="H540" s="2">
        <v>40.0</v>
      </c>
      <c r="I540" t="inlineStr">
        <is>
          <t xml:space="preserve">хлопок 60%, ПЭ 40 %</t>
        </is>
      </c>
      <c r="J540"/>
      <c r="K540" t="inlineStr">
        <is>
          <t xml:space="preserve">Бангладеш</t>
        </is>
      </c>
      <c r="L540" t="inlineStr">
        <is>
          <t xml:space="preserve">6110209100</t>
        </is>
      </c>
      <c r="M540" t="inlineStr">
        <is>
          <t xml:space="preserve">Декларация № ЕАЭС № BY/112 11.01. ТР017 122.01 08246, до 19.04.2028</t>
        </is>
      </c>
      <c r="N540" t="inlineStr">
        <is>
          <t xml:space="preserve">34 × 30 × 3</t>
        </is>
      </c>
      <c r="O540" t="inlineStr">
        <is>
          <t xml:space="preserve">0,62</t>
        </is>
      </c>
      <c r="P540" t="inlineStr">
        <is>
          <t xml:space="preserve">4816148174444</t>
        </is>
      </c>
      <c r="Q540" s="3" t="str">
        <f>HYPERLINK("https://modify.by/img/742337535/1.webp","фото")</f>
        <v>фото</v>
      </c>
      <c r="R540" s="3" t="str">
        <f>HYPERLINK("https://modify.by/catalog/svitery/742337535/?utm_source=price&amp;utm_medium=xlsx","открыть")</f>
        <v>открыть</v>
      </c>
    </row>
    <row r="541">
      <c r="A541" t="inlineStr">
        <is>
          <t xml:space="preserve">Мужской</t>
        </is>
      </c>
      <c r="B541" t="inlineStr">
        <is>
          <t xml:space="preserve">Свитеры</t>
        </is>
      </c>
      <c r="C541" t="inlineStr">
        <is>
          <t xml:space="preserve">Свитер с воротником на молнии базовый хлопковый, бежевый</t>
        </is>
      </c>
      <c r="D541" t="inlineStr">
        <is>
          <t xml:space="preserve">SW62M01бежевый</t>
        </is>
      </c>
      <c r="E541" t="inlineStr">
        <is>
          <t xml:space="preserve">бежевый</t>
        </is>
      </c>
      <c r="F541" t="inlineStr">
        <is>
          <t xml:space="preserve">52</t>
        </is>
      </c>
      <c r="G541">
        <v>4</v>
      </c>
      <c r="H541" s="2">
        <v>40.0</v>
      </c>
      <c r="I541" t="inlineStr">
        <is>
          <t xml:space="preserve">хлопок 60%, ПЭ 40 %</t>
        </is>
      </c>
      <c r="J541"/>
      <c r="K541" t="inlineStr">
        <is>
          <t xml:space="preserve">Бангладеш</t>
        </is>
      </c>
      <c r="L541" t="inlineStr">
        <is>
          <t xml:space="preserve">6110209100</t>
        </is>
      </c>
      <c r="M541" t="inlineStr">
        <is>
          <t xml:space="preserve">Декларация № ЕАЭС № BY/112 11.01. ТР017 122.01 08246, до 19.04.2028</t>
        </is>
      </c>
      <c r="N541" t="inlineStr">
        <is>
          <t xml:space="preserve">34 × 30 × 3</t>
        </is>
      </c>
      <c r="O541" t="inlineStr">
        <is>
          <t xml:space="preserve">0,62</t>
        </is>
      </c>
      <c r="P541" t="inlineStr">
        <is>
          <t xml:space="preserve">4816148174451</t>
        </is>
      </c>
      <c r="Q541" s="3" t="str">
        <f>HYPERLINK("https://modify.by/img/742337535/1.webp","фото")</f>
        <v>фото</v>
      </c>
      <c r="R541" s="3" t="str">
        <f>HYPERLINK("https://modify.by/catalog/svitery/742337535/?utm_source=price&amp;utm_medium=xlsx","открыть")</f>
        <v>открыть</v>
      </c>
    </row>
    <row r="542">
      <c r="A542" t="inlineStr">
        <is>
          <t xml:space="preserve">Мужской</t>
        </is>
      </c>
      <c r="B542" t="inlineStr">
        <is>
          <t xml:space="preserve">Свитеры</t>
        </is>
      </c>
      <c r="C542" t="inlineStr">
        <is>
          <t xml:space="preserve">Свитер с воротником на молнии базовый хлопковый, серый</t>
        </is>
      </c>
      <c r="D542" t="inlineStr">
        <is>
          <t xml:space="preserve">SW62M01серый</t>
        </is>
      </c>
      <c r="E542" t="inlineStr">
        <is>
          <t xml:space="preserve">серый, светло-серый</t>
        </is>
      </c>
      <c r="F542" t="inlineStr">
        <is>
          <t xml:space="preserve">42</t>
        </is>
      </c>
      <c r="G542">
        <v>32</v>
      </c>
      <c r="H542" s="2">
        <v>40.0</v>
      </c>
      <c r="I542" t="inlineStr">
        <is>
          <t xml:space="preserve">хлопок 60%, ПЭ 40 %</t>
        </is>
      </c>
      <c r="J542"/>
      <c r="K542" t="inlineStr">
        <is>
          <t xml:space="preserve">Бангладеш</t>
        </is>
      </c>
      <c r="L542" t="inlineStr">
        <is>
          <t xml:space="preserve">6110209100</t>
        </is>
      </c>
      <c r="M542" t="inlineStr">
        <is>
          <t xml:space="preserve">Декларация № ЕАЭС № BY/112 11.01. ТР017 122.01 08246, до 19.04.2028</t>
        </is>
      </c>
      <c r="N542" t="inlineStr">
        <is>
          <t xml:space="preserve">35 × 30 × 4</t>
        </is>
      </c>
      <c r="O542" t="inlineStr">
        <is>
          <t xml:space="preserve">0,62</t>
        </is>
      </c>
      <c r="P542" t="inlineStr">
        <is>
          <t xml:space="preserve">4816148174765</t>
        </is>
      </c>
      <c r="Q542" s="3" t="str">
        <f>HYPERLINK("https://modify.by/img/751068789/1.webp","фото")</f>
        <v>фото</v>
      </c>
      <c r="R542" s="3" t="str">
        <f>HYPERLINK("https://modify.by/catalog/svitery/751068789/?utm_source=price&amp;utm_medium=xlsx","открыть")</f>
        <v>открыть</v>
      </c>
    </row>
    <row r="543">
      <c r="A543" t="inlineStr">
        <is>
          <t xml:space="preserve">Мужской</t>
        </is>
      </c>
      <c r="B543" t="inlineStr">
        <is>
          <t xml:space="preserve">Свитеры</t>
        </is>
      </c>
      <c r="C543" t="inlineStr">
        <is>
          <t xml:space="preserve">Свитер с воротником на молнии базовый хлопковый, серый</t>
        </is>
      </c>
      <c r="D543" t="inlineStr">
        <is>
          <t xml:space="preserve">SW62M01серый</t>
        </is>
      </c>
      <c r="E543" t="inlineStr">
        <is>
          <t xml:space="preserve">серый, светло-серый</t>
        </is>
      </c>
      <c r="F543" t="inlineStr">
        <is>
          <t xml:space="preserve">44</t>
        </is>
      </c>
      <c r="G543">
        <v>26</v>
      </c>
      <c r="H543" s="2">
        <v>40.0</v>
      </c>
      <c r="I543" t="inlineStr">
        <is>
          <t xml:space="preserve">хлопок 60%, ПЭ 40 %</t>
        </is>
      </c>
      <c r="J543"/>
      <c r="K543" t="inlineStr">
        <is>
          <t xml:space="preserve">Бангладеш</t>
        </is>
      </c>
      <c r="L543" t="inlineStr">
        <is>
          <t xml:space="preserve">6110209100</t>
        </is>
      </c>
      <c r="M543" t="inlineStr">
        <is>
          <t xml:space="preserve">Декларация № ЕАЭС № BY/112 11.01. ТР017 122.01 08246, до 19.04.2028</t>
        </is>
      </c>
      <c r="N543" t="inlineStr">
        <is>
          <t xml:space="preserve">35 × 30 × 4</t>
        </is>
      </c>
      <c r="O543" t="inlineStr">
        <is>
          <t xml:space="preserve">0,62</t>
        </is>
      </c>
      <c r="P543" t="inlineStr">
        <is>
          <t xml:space="preserve">4816148174772</t>
        </is>
      </c>
      <c r="Q543" s="3" t="str">
        <f>HYPERLINK("https://modify.by/img/751068789/1.webp","фото")</f>
        <v>фото</v>
      </c>
      <c r="R543" s="3" t="str">
        <f>HYPERLINK("https://modify.by/catalog/svitery/751068789/?utm_source=price&amp;utm_medium=xlsx","открыть")</f>
        <v>открыть</v>
      </c>
    </row>
    <row r="544">
      <c r="A544" t="inlineStr">
        <is>
          <t xml:space="preserve">Мужской</t>
        </is>
      </c>
      <c r="B544" t="inlineStr">
        <is>
          <t xml:space="preserve">Свитеры</t>
        </is>
      </c>
      <c r="C544" t="inlineStr">
        <is>
          <t xml:space="preserve">Свитер с воротником на молнии базовый хлопковый, серый</t>
        </is>
      </c>
      <c r="D544" t="inlineStr">
        <is>
          <t xml:space="preserve">SW62M01серый</t>
        </is>
      </c>
      <c r="E544" t="inlineStr">
        <is>
          <t xml:space="preserve">серый, светло-серый</t>
        </is>
      </c>
      <c r="F544" t="inlineStr">
        <is>
          <t xml:space="preserve">46</t>
        </is>
      </c>
      <c r="G544">
        <v>40</v>
      </c>
      <c r="H544" s="2">
        <v>40.0</v>
      </c>
      <c r="I544" t="inlineStr">
        <is>
          <t xml:space="preserve">хлопок 60%, ПЭ 40 %</t>
        </is>
      </c>
      <c r="J544"/>
      <c r="K544" t="inlineStr">
        <is>
          <t xml:space="preserve">Бангладеш</t>
        </is>
      </c>
      <c r="L544" t="inlineStr">
        <is>
          <t xml:space="preserve">6110209100</t>
        </is>
      </c>
      <c r="M544" t="inlineStr">
        <is>
          <t xml:space="preserve">Декларация № ЕАЭС № BY/112 11.01. ТР017 122.01 08246, до 19.04.2028</t>
        </is>
      </c>
      <c r="N544" t="inlineStr">
        <is>
          <t xml:space="preserve">35 × 30 × 4</t>
        </is>
      </c>
      <c r="O544" t="inlineStr">
        <is>
          <t xml:space="preserve">0,62</t>
        </is>
      </c>
      <c r="P544" t="inlineStr">
        <is>
          <t xml:space="preserve">4816148174789</t>
        </is>
      </c>
      <c r="Q544" s="3" t="str">
        <f>HYPERLINK("https://modify.by/img/751068789/1.webp","фото")</f>
        <v>фото</v>
      </c>
      <c r="R544" s="3" t="str">
        <f>HYPERLINK("https://modify.by/catalog/svitery/751068789/?utm_source=price&amp;utm_medium=xlsx","открыть")</f>
        <v>открыть</v>
      </c>
    </row>
    <row r="545">
      <c r="A545" t="inlineStr">
        <is>
          <t xml:space="preserve">Мужской</t>
        </is>
      </c>
      <c r="B545" t="inlineStr">
        <is>
          <t xml:space="preserve">Свитеры</t>
        </is>
      </c>
      <c r="C545" t="inlineStr">
        <is>
          <t xml:space="preserve">Свитер с воротником на молнии базовый хлопковый, серый</t>
        </is>
      </c>
      <c r="D545" t="inlineStr">
        <is>
          <t xml:space="preserve">SW62M01серый</t>
        </is>
      </c>
      <c r="E545" t="inlineStr">
        <is>
          <t xml:space="preserve">серый, светло-серый</t>
        </is>
      </c>
      <c r="F545" t="inlineStr">
        <is>
          <t xml:space="preserve">48</t>
        </is>
      </c>
      <c r="G545">
        <v>5</v>
      </c>
      <c r="H545" s="2">
        <v>40.0</v>
      </c>
      <c r="I545" t="inlineStr">
        <is>
          <t xml:space="preserve">хлопок 60%, ПЭ 40 %</t>
        </is>
      </c>
      <c r="J545"/>
      <c r="K545" t="inlineStr">
        <is>
          <t xml:space="preserve">Бангладеш</t>
        </is>
      </c>
      <c r="L545" t="inlineStr">
        <is>
          <t xml:space="preserve">6110209100</t>
        </is>
      </c>
      <c r="M545" t="inlineStr">
        <is>
          <t xml:space="preserve">Декларация № ЕАЭС № BY/112 11.01. ТР017 122.01 08246, до 19.04.2028</t>
        </is>
      </c>
      <c r="N545" t="inlineStr">
        <is>
          <t xml:space="preserve">35 × 30 × 4</t>
        </is>
      </c>
      <c r="O545" t="inlineStr">
        <is>
          <t xml:space="preserve">0,62</t>
        </is>
      </c>
      <c r="P545" t="inlineStr">
        <is>
          <t xml:space="preserve">4816148174796</t>
        </is>
      </c>
      <c r="Q545" s="3" t="str">
        <f>HYPERLINK("https://modify.by/img/751068789/1.webp","фото")</f>
        <v>фото</v>
      </c>
      <c r="R545" s="3" t="str">
        <f>HYPERLINK("https://modify.by/catalog/svitery/751068789/?utm_source=price&amp;utm_medium=xlsx","открыть")</f>
        <v>открыть</v>
      </c>
    </row>
    <row r="546">
      <c r="A546" t="inlineStr">
        <is>
          <t xml:space="preserve">Мужской</t>
        </is>
      </c>
      <c r="B546" t="inlineStr">
        <is>
          <t xml:space="preserve">Свитеры</t>
        </is>
      </c>
      <c r="C546" t="inlineStr">
        <is>
          <t xml:space="preserve">Свитер с воротником на молнии базовый хлопковый, серый</t>
        </is>
      </c>
      <c r="D546" t="inlineStr">
        <is>
          <t xml:space="preserve">SW62M01серый</t>
        </is>
      </c>
      <c r="E546" t="inlineStr">
        <is>
          <t xml:space="preserve">серый, светло-серый</t>
        </is>
      </c>
      <c r="F546" t="inlineStr">
        <is>
          <t xml:space="preserve">50</t>
        </is>
      </c>
      <c r="G546">
        <v>8</v>
      </c>
      <c r="H546" s="2">
        <v>40.0</v>
      </c>
      <c r="I546" t="inlineStr">
        <is>
          <t xml:space="preserve">хлопок 60%, ПЭ 40 %</t>
        </is>
      </c>
      <c r="J546"/>
      <c r="K546" t="inlineStr">
        <is>
          <t xml:space="preserve">Бангладеш</t>
        </is>
      </c>
      <c r="L546" t="inlineStr">
        <is>
          <t xml:space="preserve">6110209100</t>
        </is>
      </c>
      <c r="M546" t="inlineStr">
        <is>
          <t xml:space="preserve">Декларация № ЕАЭС № BY/112 11.01. ТР017 122.01 08246, до 19.04.2028</t>
        </is>
      </c>
      <c r="N546" t="inlineStr">
        <is>
          <t xml:space="preserve">35 × 30 × 4</t>
        </is>
      </c>
      <c r="O546" t="inlineStr">
        <is>
          <t xml:space="preserve">0,62</t>
        </is>
      </c>
      <c r="P546" t="inlineStr">
        <is>
          <t xml:space="preserve">4816148174802</t>
        </is>
      </c>
      <c r="Q546" s="3" t="str">
        <f>HYPERLINK("https://modify.by/img/751068789/1.webp","фото")</f>
        <v>фото</v>
      </c>
      <c r="R546" s="3" t="str">
        <f>HYPERLINK("https://modify.by/catalog/svitery/751068789/?utm_source=price&amp;utm_medium=xlsx","открыть")</f>
        <v>открыть</v>
      </c>
    </row>
    <row r="547">
      <c r="A547" t="inlineStr">
        <is>
          <t xml:space="preserve">Мужской</t>
        </is>
      </c>
      <c r="B547" t="inlineStr">
        <is>
          <t xml:space="preserve">Свитеры</t>
        </is>
      </c>
      <c r="C547" t="inlineStr">
        <is>
          <t xml:space="preserve">Свитер с воротником на молнии базовый хлопковый, темно-зеленый</t>
        </is>
      </c>
      <c r="D547" t="inlineStr">
        <is>
          <t xml:space="preserve">SW62M01темно_зеленый</t>
        </is>
      </c>
      <c r="E547" t="inlineStr">
        <is>
          <t xml:space="preserve">темно-зеленый</t>
        </is>
      </c>
      <c r="F547" t="inlineStr">
        <is>
          <t xml:space="preserve">44</t>
        </is>
      </c>
      <c r="G547">
        <v>2</v>
      </c>
      <c r="H547" s="2">
        <v>40.0</v>
      </c>
      <c r="I547" t="inlineStr">
        <is>
          <t xml:space="preserve">хлопок 60%, ПЭ 40 %</t>
        </is>
      </c>
      <c r="J547"/>
      <c r="K547" t="inlineStr">
        <is>
          <t xml:space="preserve">Бангладеш</t>
        </is>
      </c>
      <c r="L547" t="inlineStr">
        <is>
          <t xml:space="preserve">6110209100</t>
        </is>
      </c>
      <c r="M547" t="inlineStr">
        <is>
          <t xml:space="preserve">Декларация № ЕАЭС № BY/112 11.01. ТР017 122.01 08246, до 19.04.2028</t>
        </is>
      </c>
      <c r="N547" t="inlineStr">
        <is>
          <t xml:space="preserve">34 × 30 × 3</t>
        </is>
      </c>
      <c r="O547" t="inlineStr">
        <is>
          <t xml:space="preserve">0,62</t>
        </is>
      </c>
      <c r="P547" t="inlineStr">
        <is>
          <t xml:space="preserve">4816148174543</t>
        </is>
      </c>
      <c r="Q547" s="3" t="str">
        <f>HYPERLINK("https://modify.by/img/748962253/1.webp","фото")</f>
        <v>фото</v>
      </c>
      <c r="R547" s="3" t="str">
        <f>HYPERLINK("https://modify.by/catalog/svitery/748962253/?utm_source=price&amp;utm_medium=xlsx","открыть")</f>
        <v>открыть</v>
      </c>
    </row>
    <row r="548">
      <c r="A548" t="inlineStr">
        <is>
          <t xml:space="preserve">Мужской</t>
        </is>
      </c>
      <c r="B548" t="inlineStr">
        <is>
          <t xml:space="preserve">Свитеры</t>
        </is>
      </c>
      <c r="C548" t="inlineStr">
        <is>
          <t xml:space="preserve">Свитер с воротником на молнии базовый хлопковый, темно-синий</t>
        </is>
      </c>
      <c r="D548" t="inlineStr">
        <is>
          <t xml:space="preserve">SW62M01Темно-синий</t>
        </is>
      </c>
      <c r="E548" t="inlineStr">
        <is>
          <t xml:space="preserve">темно-синий</t>
        </is>
      </c>
      <c r="F548" t="inlineStr">
        <is>
          <t xml:space="preserve">42</t>
        </is>
      </c>
      <c r="G548">
        <v>9</v>
      </c>
      <c r="H548" s="2">
        <v>40.0</v>
      </c>
      <c r="I548" t="inlineStr">
        <is>
          <t xml:space="preserve">хлопок 60%, ПЭ 40 %</t>
        </is>
      </c>
      <c r="J548"/>
      <c r="K548" t="inlineStr">
        <is>
          <t xml:space="preserve">Бангладеш</t>
        </is>
      </c>
      <c r="L548" t="inlineStr">
        <is>
          <t xml:space="preserve">6110209100</t>
        </is>
      </c>
      <c r="M548" t="inlineStr">
        <is>
          <t xml:space="preserve">Декларация № ЕАЭС № BY/112 11.01. ТР017 122.01 08246, до 19.04.2028</t>
        </is>
      </c>
      <c r="N548" t="inlineStr">
        <is>
          <t xml:space="preserve">34 × 30 × 3</t>
        </is>
      </c>
      <c r="O548" t="inlineStr">
        <is>
          <t xml:space="preserve">0,62</t>
        </is>
      </c>
      <c r="P548" t="inlineStr">
        <is>
          <t xml:space="preserve">4816148174673</t>
        </is>
      </c>
      <c r="Q548" s="3" t="str">
        <f>HYPERLINK("https://modify.by/img/757825018/1.webp","фото")</f>
        <v>фото</v>
      </c>
      <c r="R548" s="3" t="str">
        <f>HYPERLINK("https://modify.by/catalog/svitery/757825018/?utm_source=price&amp;utm_medium=xlsx","открыть")</f>
        <v>открыть</v>
      </c>
    </row>
    <row r="549">
      <c r="A549" t="inlineStr">
        <is>
          <t xml:space="preserve">Мужской</t>
        </is>
      </c>
      <c r="B549" t="inlineStr">
        <is>
          <t xml:space="preserve">Свитеры</t>
        </is>
      </c>
      <c r="C549" t="inlineStr">
        <is>
          <t xml:space="preserve">Свитер с воротником на молнии базовый хлопковый, темно-синий</t>
        </is>
      </c>
      <c r="D549" t="inlineStr">
        <is>
          <t xml:space="preserve">SW62M01Темно-синий</t>
        </is>
      </c>
      <c r="E549" t="inlineStr">
        <is>
          <t xml:space="preserve">темно-синий</t>
        </is>
      </c>
      <c r="F549" t="inlineStr">
        <is>
          <t xml:space="preserve">44</t>
        </is>
      </c>
      <c r="G549">
        <v>32</v>
      </c>
      <c r="H549" s="2">
        <v>40.0</v>
      </c>
      <c r="I549" t="inlineStr">
        <is>
          <t xml:space="preserve">хлопок 60%, ПЭ 40 %</t>
        </is>
      </c>
      <c r="J549"/>
      <c r="K549" t="inlineStr">
        <is>
          <t xml:space="preserve">Бангладеш</t>
        </is>
      </c>
      <c r="L549" t="inlineStr">
        <is>
          <t xml:space="preserve">6110209100</t>
        </is>
      </c>
      <c r="M549" t="inlineStr">
        <is>
          <t xml:space="preserve">Декларация № ЕАЭС № BY/112 11.01. ТР017 122.01 08246, до 19.04.2028</t>
        </is>
      </c>
      <c r="N549" t="inlineStr">
        <is>
          <t xml:space="preserve">34 × 30 × 3</t>
        </is>
      </c>
      <c r="O549" t="inlineStr">
        <is>
          <t xml:space="preserve">0,62</t>
        </is>
      </c>
      <c r="P549" t="inlineStr">
        <is>
          <t xml:space="preserve">4816148174680</t>
        </is>
      </c>
      <c r="Q549" s="3" t="str">
        <f>HYPERLINK("https://modify.by/img/757825018/1.webp","фото")</f>
        <v>фото</v>
      </c>
      <c r="R549" s="3" t="str">
        <f>HYPERLINK("https://modify.by/catalog/svitery/757825018/?utm_source=price&amp;utm_medium=xlsx","открыть")</f>
        <v>открыть</v>
      </c>
    </row>
    <row r="550">
      <c r="A550" t="inlineStr">
        <is>
          <t xml:space="preserve">Мужской</t>
        </is>
      </c>
      <c r="B550" t="inlineStr">
        <is>
          <t xml:space="preserve">Свитеры</t>
        </is>
      </c>
      <c r="C550" t="inlineStr">
        <is>
          <t xml:space="preserve">Свитер с воротником на молнии базовый хлопковый, темно-синий</t>
        </is>
      </c>
      <c r="D550" t="inlineStr">
        <is>
          <t xml:space="preserve">SW62M01Темно-синий</t>
        </is>
      </c>
      <c r="E550" t="inlineStr">
        <is>
          <t xml:space="preserve">темно-синий</t>
        </is>
      </c>
      <c r="F550" t="inlineStr">
        <is>
          <t xml:space="preserve">46</t>
        </is>
      </c>
      <c r="G550">
        <v>38</v>
      </c>
      <c r="H550" s="2">
        <v>40.0</v>
      </c>
      <c r="I550" t="inlineStr">
        <is>
          <t xml:space="preserve">хлопок 60%, ПЭ 40 %</t>
        </is>
      </c>
      <c r="J550"/>
      <c r="K550" t="inlineStr">
        <is>
          <t xml:space="preserve">Бангладеш</t>
        </is>
      </c>
      <c r="L550" t="inlineStr">
        <is>
          <t xml:space="preserve">6110209100</t>
        </is>
      </c>
      <c r="M550" t="inlineStr">
        <is>
          <t xml:space="preserve">Декларация № ЕАЭС № BY/112 11.01. ТР017 122.01 08246, до 19.04.2028</t>
        </is>
      </c>
      <c r="N550" t="inlineStr">
        <is>
          <t xml:space="preserve">34 × 30 × 3</t>
        </is>
      </c>
      <c r="O550" t="inlineStr">
        <is>
          <t xml:space="preserve">0,62</t>
        </is>
      </c>
      <c r="P550" t="inlineStr">
        <is>
          <t xml:space="preserve">4816148174697</t>
        </is>
      </c>
      <c r="Q550" s="3" t="str">
        <f>HYPERLINK("https://modify.by/img/757825018/1.webp","фото")</f>
        <v>фото</v>
      </c>
      <c r="R550" s="3" t="str">
        <f>HYPERLINK("https://modify.by/catalog/svitery/757825018/?utm_source=price&amp;utm_medium=xlsx","открыть")</f>
        <v>открыть</v>
      </c>
    </row>
    <row r="551">
      <c r="A551" t="inlineStr">
        <is>
          <t xml:space="preserve">Мужской</t>
        </is>
      </c>
      <c r="B551" t="inlineStr">
        <is>
          <t xml:space="preserve">Свитеры</t>
        </is>
      </c>
      <c r="C551" t="inlineStr">
        <is>
          <t xml:space="preserve">Свитер с воротником на молнии базовый хлопковый, темно-синий</t>
        </is>
      </c>
      <c r="D551" t="inlineStr">
        <is>
          <t xml:space="preserve">SW62M01Темно-синий</t>
        </is>
      </c>
      <c r="E551" t="inlineStr">
        <is>
          <t xml:space="preserve">темно-синий</t>
        </is>
      </c>
      <c r="F551" t="inlineStr">
        <is>
          <t xml:space="preserve">50</t>
        </is>
      </c>
      <c r="G551">
        <v>3</v>
      </c>
      <c r="H551" s="2">
        <v>40.0</v>
      </c>
      <c r="I551" t="inlineStr">
        <is>
          <t xml:space="preserve">хлопок 60%, ПЭ 40 %</t>
        </is>
      </c>
      <c r="J551"/>
      <c r="K551" t="inlineStr">
        <is>
          <t xml:space="preserve">Бангладеш</t>
        </is>
      </c>
      <c r="L551" t="inlineStr">
        <is>
          <t xml:space="preserve">6110209100</t>
        </is>
      </c>
      <c r="M551" t="inlineStr">
        <is>
          <t xml:space="preserve">Декларация № ЕАЭС № BY/112 11.01. ТР017 122.01 08246, до 19.04.2028</t>
        </is>
      </c>
      <c r="N551" t="inlineStr">
        <is>
          <t xml:space="preserve">34 × 30 × 3</t>
        </is>
      </c>
      <c r="O551" t="inlineStr">
        <is>
          <t xml:space="preserve">0,62</t>
        </is>
      </c>
      <c r="P551" t="inlineStr">
        <is>
          <t xml:space="preserve">4816148174710</t>
        </is>
      </c>
      <c r="Q551" s="3" t="str">
        <f>HYPERLINK("https://modify.by/img/757825018/1.webp","фото")</f>
        <v>фото</v>
      </c>
      <c r="R551" s="3" t="str">
        <f>HYPERLINK("https://modify.by/catalog/svitery/757825018/?utm_source=price&amp;utm_medium=xlsx","открыть")</f>
        <v>открыть</v>
      </c>
    </row>
    <row r="552">
      <c r="A552" t="inlineStr">
        <is>
          <t xml:space="preserve">Мужской</t>
        </is>
      </c>
      <c r="B552" t="inlineStr">
        <is>
          <t xml:space="preserve">Свитеры</t>
        </is>
      </c>
      <c r="C552" t="inlineStr">
        <is>
          <t xml:space="preserve">Свитер с воротником на молнии базовый хлопковый, черный</t>
        </is>
      </c>
      <c r="D552" t="inlineStr">
        <is>
          <t xml:space="preserve">SW62M01черный</t>
        </is>
      </c>
      <c r="E552" t="inlineStr">
        <is>
          <t xml:space="preserve">черный</t>
        </is>
      </c>
      <c r="F552" t="inlineStr">
        <is>
          <t xml:space="preserve">44</t>
        </is>
      </c>
      <c r="G552">
        <v>5</v>
      </c>
      <c r="H552" s="2">
        <v>40.0</v>
      </c>
      <c r="I552" t="inlineStr">
        <is>
          <t xml:space="preserve">хлопок 60%, ПЭ 40 %</t>
        </is>
      </c>
      <c r="J552"/>
      <c r="K552" t="inlineStr">
        <is>
          <t xml:space="preserve">Бангладеш</t>
        </is>
      </c>
      <c r="L552" t="inlineStr">
        <is>
          <t xml:space="preserve">6110209100</t>
        </is>
      </c>
      <c r="M552" t="inlineStr">
        <is>
          <t xml:space="preserve">Декларация № ЕАЭС № BY/112 11.01. ТР017 122.01 08246, до 19.04.2028</t>
        </is>
      </c>
      <c r="N552" t="inlineStr">
        <is>
          <t xml:space="preserve">34 × 30 × 3</t>
        </is>
      </c>
      <c r="O552" t="inlineStr">
        <is>
          <t xml:space="preserve">0,62</t>
        </is>
      </c>
      <c r="P552" t="inlineStr">
        <is>
          <t xml:space="preserve">4816148174338</t>
        </is>
      </c>
      <c r="Q552" s="3" t="str">
        <f>HYPERLINK("https://modify.by/img/742337534/1.webp","фото")</f>
        <v>фото</v>
      </c>
      <c r="R552" s="3" t="str">
        <f>HYPERLINK("https://modify.by/catalog/svitery/742337534/?utm_source=price&amp;utm_medium=xlsx","открыть")</f>
        <v>открыть</v>
      </c>
    </row>
    <row r="553">
      <c r="A553" t="inlineStr">
        <is>
          <t xml:space="preserve">Мужской</t>
        </is>
      </c>
      <c r="B553" t="inlineStr">
        <is>
          <t xml:space="preserve">Свитеры</t>
        </is>
      </c>
      <c r="C553" t="inlineStr">
        <is>
          <t xml:space="preserve">Свитер с воротником на пуговицах теплый</t>
        </is>
      </c>
      <c r="D553" t="inlineStr">
        <is>
          <t xml:space="preserve">SW42M13темно-синий</t>
        </is>
      </c>
      <c r="E553" t="inlineStr">
        <is>
          <t xml:space="preserve">песочный, бежевый, синий, светло-коричневый, темно-синий</t>
        </is>
      </c>
      <c r="F553" t="inlineStr">
        <is>
          <t xml:space="preserve">54</t>
        </is>
      </c>
      <c r="G553">
        <v>1</v>
      </c>
      <c r="H553" s="2">
        <v>33.0</v>
      </c>
      <c r="I553" t="inlineStr">
        <is>
          <t xml:space="preserve">100% акрил</t>
        </is>
      </c>
      <c r="J553"/>
      <c r="K553" t="inlineStr">
        <is>
          <t xml:space="preserve">Бангладеш</t>
        </is>
      </c>
      <c r="L553" t="inlineStr">
        <is>
          <t xml:space="preserve">6110309100</t>
        </is>
      </c>
      <c r="M553" t="inlineStr">
        <is>
          <t xml:space="preserve">Декларация № ЕАЭС № BY/112 11.01. ТР017 122.01 08246, до 19.04.2028</t>
        </is>
      </c>
      <c r="N553" t="inlineStr">
        <is>
          <t xml:space="preserve">35 × 30 × 3</t>
        </is>
      </c>
      <c r="O553" t="inlineStr">
        <is>
          <t xml:space="preserve">0,28</t>
        </is>
      </c>
      <c r="P553" t="inlineStr">
        <is>
          <t xml:space="preserve">4816148129871</t>
        </is>
      </c>
      <c r="Q553" s="3" t="str">
        <f>HYPERLINK("https://modify.by/img/254972317/1.webp","фото")</f>
        <v>фото</v>
      </c>
      <c r="R553" s="3" t="str">
        <f>HYPERLINK("https://modify.by/catalog/svitery/254972317/?utm_source=price&amp;utm_medium=xlsx","открыть")</f>
        <v>открыть</v>
      </c>
    </row>
    <row r="554">
      <c r="A554" t="inlineStr">
        <is>
          <t xml:space="preserve">Мужской</t>
        </is>
      </c>
      <c r="B554" t="inlineStr">
        <is>
          <t xml:space="preserve">Свитеры</t>
        </is>
      </c>
      <c r="C554" t="inlineStr">
        <is>
          <t xml:space="preserve">Свитер с воротом хлопок</t>
        </is>
      </c>
      <c r="D554" t="inlineStr">
        <is>
          <t xml:space="preserve">SW22M17Синий</t>
        </is>
      </c>
      <c r="E554" t="inlineStr">
        <is>
          <t xml:space="preserve">синий</t>
        </is>
      </c>
      <c r="F554" t="inlineStr">
        <is>
          <t xml:space="preserve">54</t>
        </is>
      </c>
      <c r="G554">
        <v>2</v>
      </c>
      <c r="H554" s="2">
        <v>33.0</v>
      </c>
      <c r="I554" t="inlineStr">
        <is>
          <t xml:space="preserve">хлопок 100%</t>
        </is>
      </c>
      <c r="J554"/>
      <c r="K554" t="inlineStr">
        <is>
          <t xml:space="preserve">Бангладеш</t>
        </is>
      </c>
      <c r="L554" t="inlineStr">
        <is>
          <t xml:space="preserve">6110209100</t>
        </is>
      </c>
      <c r="M554" t="inlineStr">
        <is>
          <t xml:space="preserve">по запросу</t>
        </is>
      </c>
      <c r="N554" t="inlineStr">
        <is>
          <t xml:space="preserve">35 × 30 × 5</t>
        </is>
      </c>
      <c r="O554" t="inlineStr">
        <is>
          <t xml:space="preserve">0,65</t>
        </is>
      </c>
      <c r="P554" t="inlineStr">
        <is>
          <t xml:space="preserve">2016957056005</t>
        </is>
      </c>
      <c r="Q554" s="3" t="str">
        <f>HYPERLINK("https://modify.by/img/125148248/1.webp","фото")</f>
        <v>фото</v>
      </c>
      <c r="R554" s="3" t="str">
        <f>HYPERLINK("https://modify.by/catalog/svitery/125148248/?utm_source=price&amp;utm_medium=xlsx","открыть")</f>
        <v>открыть</v>
      </c>
    </row>
    <row r="555">
      <c r="A555" t="inlineStr">
        <is>
          <t xml:space="preserve">Мужской</t>
        </is>
      </c>
      <c r="B555" t="inlineStr">
        <is>
          <t xml:space="preserve">Свитеры</t>
        </is>
      </c>
      <c r="C555" t="inlineStr">
        <is>
          <t xml:space="preserve">Свитер с горлом на молнии, синий</t>
        </is>
      </c>
      <c r="D555" t="inlineStr">
        <is>
          <t xml:space="preserve">SW32M33Синий</t>
        </is>
      </c>
      <c r="E555" t="inlineStr">
        <is>
          <t xml:space="preserve">синий</t>
        </is>
      </c>
      <c r="F555" t="inlineStr">
        <is>
          <t xml:space="preserve">44</t>
        </is>
      </c>
      <c r="G555">
        <v>2</v>
      </c>
      <c r="H555" s="2">
        <v>34.0</v>
      </c>
      <c r="I555" t="inlineStr">
        <is>
          <t xml:space="preserve">хлопок 100%</t>
        </is>
      </c>
      <c r="J555"/>
      <c r="K555" t="inlineStr">
        <is>
          <t xml:space="preserve">Бангладеш</t>
        </is>
      </c>
      <c r="L555" t="inlineStr">
        <is>
          <t xml:space="preserve">6110209100</t>
        </is>
      </c>
      <c r="M555" t="inlineStr">
        <is>
          <t xml:space="preserve">Декларация № ЕАЭС № BY/112 11.01. ТР017 122.01 08246, до 19.04.2028</t>
        </is>
      </c>
      <c r="N555" t="inlineStr">
        <is>
          <t xml:space="preserve">35 × 28 × 3</t>
        </is>
      </c>
      <c r="O555" t="inlineStr">
        <is>
          <t xml:space="preserve">0,48</t>
        </is>
      </c>
      <c r="P555" t="inlineStr">
        <is>
          <t xml:space="preserve">2038096160375</t>
        </is>
      </c>
      <c r="Q555" s="3" t="str">
        <f>HYPERLINK("https://modify.by/img/171171551/1.webp","фото")</f>
        <v>фото</v>
      </c>
      <c r="R555" s="3" t="str">
        <f>HYPERLINK("https://modify.by/catalog/svitery/171171551/?utm_source=price&amp;utm_medium=xlsx","открыть")</f>
        <v>открыть</v>
      </c>
    </row>
    <row r="556">
      <c r="A556" t="inlineStr">
        <is>
          <t xml:space="preserve">Мужской</t>
        </is>
      </c>
      <c r="B556" t="inlineStr">
        <is>
          <t xml:space="preserve">Свитеры</t>
        </is>
      </c>
      <c r="C556" t="inlineStr">
        <is>
          <t xml:space="preserve">Свитер с горлом на молнии, синий</t>
        </is>
      </c>
      <c r="D556" t="inlineStr">
        <is>
          <t xml:space="preserve">SW32M33Синий</t>
        </is>
      </c>
      <c r="E556" t="inlineStr">
        <is>
          <t xml:space="preserve">синий</t>
        </is>
      </c>
      <c r="F556" t="inlineStr">
        <is>
          <t xml:space="preserve">44</t>
        </is>
      </c>
      <c r="G556">
        <v>2</v>
      </c>
      <c r="H556" s="2">
        <v>34.0</v>
      </c>
      <c r="I556" t="inlineStr">
        <is>
          <t xml:space="preserve">хлопок 100%</t>
        </is>
      </c>
      <c r="J556"/>
      <c r="K556" t="inlineStr">
        <is>
          <t xml:space="preserve">Бангладеш</t>
        </is>
      </c>
      <c r="L556" t="inlineStr">
        <is>
          <t xml:space="preserve">6110209100</t>
        </is>
      </c>
      <c r="M556" t="inlineStr">
        <is>
          <t xml:space="preserve">Декларация № ЕАЭС № BY/112 11.01. ТР017 122.01 08246, до 19.04.2028</t>
        </is>
      </c>
      <c r="N556" t="inlineStr">
        <is>
          <t xml:space="preserve">35 × 28 × 3</t>
        </is>
      </c>
      <c r="O556" t="inlineStr">
        <is>
          <t xml:space="preserve">0,48</t>
        </is>
      </c>
      <c r="P556" t="inlineStr">
        <is>
          <t xml:space="preserve">4816148141248</t>
        </is>
      </c>
      <c r="Q556" s="3" t="str">
        <f>HYPERLINK("https://modify.by/img/171171551/1.webp","фото")</f>
        <v>фото</v>
      </c>
      <c r="R556" s="3" t="str">
        <f>HYPERLINK("https://modify.by/catalog/svitery/171171551/?utm_source=price&amp;utm_medium=xlsx","открыть")</f>
        <v>открыть</v>
      </c>
    </row>
    <row r="557">
      <c r="A557" t="inlineStr">
        <is>
          <t xml:space="preserve">Мужской</t>
        </is>
      </c>
      <c r="B557" t="inlineStr">
        <is>
          <t xml:space="preserve">Свитеры</t>
        </is>
      </c>
      <c r="C557" t="inlineStr">
        <is>
          <t xml:space="preserve">Свитер с горлом на молнии, черный</t>
        </is>
      </c>
      <c r="D557" t="inlineStr">
        <is>
          <t xml:space="preserve">SW42M02черный1</t>
        </is>
      </c>
      <c r="E557" t="inlineStr">
        <is>
          <t xml:space="preserve">черный</t>
        </is>
      </c>
      <c r="F557" t="inlineStr">
        <is>
          <t xml:space="preserve">52</t>
        </is>
      </c>
      <c r="G557">
        <v>1</v>
      </c>
      <c r="H557" s="2">
        <v>33.0</v>
      </c>
      <c r="I557" t="inlineStr">
        <is>
          <t xml:space="preserve">хлопок, полиэстер</t>
        </is>
      </c>
      <c r="J557"/>
      <c r="K557" t="inlineStr">
        <is>
          <t xml:space="preserve">Бангладеш</t>
        </is>
      </c>
      <c r="L557" t="inlineStr">
        <is>
          <t xml:space="preserve">6110209100</t>
        </is>
      </c>
      <c r="M557" t="inlineStr">
        <is>
          <t xml:space="preserve">Декларация № ЕАЭС № BY/112 11.01. ТР017 122.01 08246, до 19.04.2028</t>
        </is>
      </c>
      <c r="N557" t="inlineStr">
        <is>
          <t xml:space="preserve">35 × 30 × 4</t>
        </is>
      </c>
      <c r="O557" t="inlineStr">
        <is>
          <t xml:space="preserve">0,38</t>
        </is>
      </c>
      <c r="P557" t="inlineStr">
        <is>
          <t xml:space="preserve">4816148128003</t>
        </is>
      </c>
      <c r="Q557" s="3" t="str">
        <f>HYPERLINK("https://modify.by/img/254986676/1.webp","фото")</f>
        <v>фото</v>
      </c>
      <c r="R557" s="3" t="str">
        <f>HYPERLINK("https://modify.by/catalog/svitery/254986676/?utm_source=price&amp;utm_medium=xlsx","открыть")</f>
        <v>открыть</v>
      </c>
    </row>
    <row r="558">
      <c r="A558" t="inlineStr">
        <is>
          <t xml:space="preserve">Мужской</t>
        </is>
      </c>
      <c r="B558" t="inlineStr">
        <is>
          <t xml:space="preserve">Свитеры</t>
        </is>
      </c>
      <c r="C558" t="inlineStr">
        <is>
          <t xml:space="preserve">Свитер хлопковый</t>
        </is>
      </c>
      <c r="D558" t="inlineStr">
        <is>
          <t xml:space="preserve">SW12M04Серый</t>
        </is>
      </c>
      <c r="E558" t="inlineStr">
        <is>
          <t xml:space="preserve">серый</t>
        </is>
      </c>
      <c r="F558" t="inlineStr">
        <is>
          <t xml:space="preserve">56</t>
        </is>
      </c>
      <c r="G558">
        <v>3</v>
      </c>
      <c r="H558" s="2">
        <v>28.0</v>
      </c>
      <c r="I558" t="inlineStr">
        <is>
          <t xml:space="preserve">хлопок 100%</t>
        </is>
      </c>
      <c r="J558"/>
      <c r="K558" t="inlineStr">
        <is>
          <t xml:space="preserve">Бангладеш</t>
        </is>
      </c>
      <c r="L558" t="inlineStr">
        <is>
          <t xml:space="preserve">6110209900</t>
        </is>
      </c>
      <c r="M558" t="inlineStr">
        <is>
          <t xml:space="preserve">по запросу</t>
        </is>
      </c>
      <c r="N558"/>
      <c r="O558"/>
      <c r="P558" t="inlineStr">
        <is>
          <t xml:space="preserve">2004570295321</t>
        </is>
      </c>
      <c r="Q558" s="3" t="str">
        <f>HYPERLINK("https://modify.by/img/51816565/1.webp","фото")</f>
        <v>фото</v>
      </c>
      <c r="R558" s="3" t="str">
        <f>HYPERLINK("https://modify.by/catalog/svitery/51816565/?utm_source=price&amp;utm_medium=xlsx","открыть")</f>
        <v>открыть</v>
      </c>
    </row>
    <row r="559">
      <c r="A559" t="inlineStr">
        <is>
          <t xml:space="preserve">Мужской</t>
        </is>
      </c>
      <c r="B559" t="inlineStr">
        <is>
          <t xml:space="preserve">Свитеры</t>
        </is>
      </c>
      <c r="C559" t="inlineStr">
        <is>
          <t xml:space="preserve">Свитер, серый</t>
        </is>
      </c>
      <c r="D559" t="inlineStr">
        <is>
          <t xml:space="preserve">SW12M04*Серый</t>
        </is>
      </c>
      <c r="E559" t="inlineStr">
        <is>
          <t xml:space="preserve">серый</t>
        </is>
      </c>
      <c r="F559" t="inlineStr">
        <is>
          <t xml:space="preserve">56</t>
        </is>
      </c>
      <c r="G559">
        <v>3</v>
      </c>
      <c r="H559" s="2">
        <v>28.0</v>
      </c>
      <c r="I559" t="inlineStr">
        <is>
          <t xml:space="preserve">хлопок 100%</t>
        </is>
      </c>
      <c r="J559"/>
      <c r="K559" t="inlineStr">
        <is>
          <t xml:space="preserve">Бангладеш</t>
        </is>
      </c>
      <c r="L559" t="inlineStr">
        <is>
          <t xml:space="preserve">6110209900</t>
        </is>
      </c>
      <c r="M559" t="inlineStr">
        <is>
          <t xml:space="preserve">Декларация № ЕАЭС № BY/112 11.01. ТР017 122.01 08246, до 19.04.2028</t>
        </is>
      </c>
      <c r="N559" t="inlineStr">
        <is>
          <t xml:space="preserve">35 × 30 × 4</t>
        </is>
      </c>
      <c r="O559" t="inlineStr">
        <is>
          <t xml:space="preserve">0,4</t>
        </is>
      </c>
      <c r="P559" t="inlineStr">
        <is>
          <t xml:space="preserve">4816148178817</t>
        </is>
      </c>
      <c r="Q559" s="3" t="str">
        <f>HYPERLINK("https://modify.by/img/58480046/1.webp","фото")</f>
        <v>фото</v>
      </c>
      <c r="R559" s="3" t="str">
        <f>HYPERLINK("https://modify.by/catalog/svitery/58480046/?utm_source=price&amp;utm_medium=xlsx","открыть")</f>
        <v>открыть</v>
      </c>
    </row>
    <row r="560">
      <c r="A560" t="inlineStr">
        <is>
          <t xml:space="preserve">Мужской</t>
        </is>
      </c>
      <c r="B560" t="inlineStr">
        <is>
          <t xml:space="preserve">Свитеры</t>
        </is>
      </c>
      <c r="C560" t="inlineStr">
        <is>
          <t xml:space="preserve">Свитер, темно-синий</t>
        </is>
      </c>
      <c r="D560" t="inlineStr">
        <is>
          <t xml:space="preserve">SW22M31Темно-синий</t>
        </is>
      </c>
      <c r="E560" t="inlineStr">
        <is>
          <t xml:space="preserve">темно-синий</t>
        </is>
      </c>
      <c r="F560" t="inlineStr">
        <is>
          <t xml:space="preserve">48/176</t>
        </is>
      </c>
      <c r="G560">
        <v>1</v>
      </c>
      <c r="H560" s="2">
        <v>23.0</v>
      </c>
      <c r="I560" t="inlineStr">
        <is>
          <t xml:space="preserve">хлопок 88%, полиамид 12%</t>
        </is>
      </c>
      <c r="J560"/>
      <c r="K560" t="inlineStr">
        <is>
          <t xml:space="preserve">Бангладеш</t>
        </is>
      </c>
      <c r="L560" t="inlineStr">
        <is>
          <t xml:space="preserve">6110309100</t>
        </is>
      </c>
      <c r="M560" t="inlineStr">
        <is>
          <t xml:space="preserve">по запросу</t>
        </is>
      </c>
      <c r="N560" t="inlineStr">
        <is>
          <t xml:space="preserve">35 × 30 × 4</t>
        </is>
      </c>
      <c r="O560" t="inlineStr">
        <is>
          <t xml:space="preserve">0,29</t>
        </is>
      </c>
      <c r="P560" t="inlineStr">
        <is>
          <t xml:space="preserve">2016957039367</t>
        </is>
      </c>
      <c r="Q560" s="3" t="str">
        <f>HYPERLINK("https://modify.by/img/141438364/1.webp","фото")</f>
        <v>фото</v>
      </c>
      <c r="R560" s="3" t="str">
        <f>HYPERLINK("https://modify.by/catalog/svitery/141438364/?utm_source=price&amp;utm_medium=xlsx","открыть")</f>
        <v>открыть</v>
      </c>
    </row>
    <row r="561">
      <c r="A561" t="inlineStr">
        <is>
          <t xml:space="preserve">Мужской</t>
        </is>
      </c>
      <c r="B561" t="inlineStr">
        <is>
          <t xml:space="preserve">Свитеры</t>
        </is>
      </c>
      <c r="C561" t="inlineStr">
        <is>
          <t xml:space="preserve">свитер вафельной вязки</t>
        </is>
      </c>
      <c r="D561" t="inlineStr">
        <is>
          <t xml:space="preserve">SW32M28Бордовый</t>
        </is>
      </c>
      <c r="E561" t="inlineStr">
        <is>
          <t xml:space="preserve">бордовый</t>
        </is>
      </c>
      <c r="F561" t="inlineStr">
        <is>
          <t xml:space="preserve">54/182</t>
        </is>
      </c>
      <c r="G561">
        <v>2</v>
      </c>
      <c r="H561" s="2">
        <v>43.0</v>
      </c>
      <c r="I561" t="inlineStr">
        <is>
          <t xml:space="preserve">хлопок 100%</t>
        </is>
      </c>
      <c r="J561"/>
      <c r="K561" t="inlineStr">
        <is>
          <t xml:space="preserve">Бангладеш</t>
        </is>
      </c>
      <c r="L561" t="inlineStr">
        <is>
          <t xml:space="preserve">6110209100</t>
        </is>
      </c>
      <c r="M561" t="inlineStr">
        <is>
          <t xml:space="preserve">Декларация № ЕАЭС № BY/112 11.01. ТР017 122.01 08246, до 19.04.2028</t>
        </is>
      </c>
      <c r="N561" t="inlineStr">
        <is>
          <t xml:space="preserve">35 × 28 × 3</t>
        </is>
      </c>
      <c r="O561" t="inlineStr">
        <is>
          <t xml:space="preserve">0,36</t>
        </is>
      </c>
      <c r="P561" t="inlineStr">
        <is>
          <t xml:space="preserve">2038096167541</t>
        </is>
      </c>
      <c r="Q561" s="3" t="str">
        <f>HYPERLINK("https://modify.by/img/179216478/1.webp","фото")</f>
        <v>фото</v>
      </c>
      <c r="R561" s="3" t="str">
        <f>HYPERLINK("https://modify.by/catalog/svitery/179216478/?utm_source=price&amp;utm_medium=xlsx","открыть")</f>
        <v>открыть</v>
      </c>
    </row>
    <row r="562">
      <c r="A562" t="inlineStr">
        <is>
          <t xml:space="preserve">Мужской</t>
        </is>
      </c>
      <c r="B562" t="inlineStr">
        <is>
          <t xml:space="preserve">Свитеры</t>
        </is>
      </c>
      <c r="C562" t="inlineStr">
        <is>
          <t xml:space="preserve">свитер вафельной вязки</t>
        </is>
      </c>
      <c r="D562" t="inlineStr">
        <is>
          <t xml:space="preserve">SW32M28Бордовый</t>
        </is>
      </c>
      <c r="E562" t="inlineStr">
        <is>
          <t xml:space="preserve">бордовый</t>
        </is>
      </c>
      <c r="F562" t="inlineStr">
        <is>
          <t xml:space="preserve">54/182</t>
        </is>
      </c>
      <c r="G562">
        <v>2</v>
      </c>
      <c r="H562" s="2">
        <v>43.0</v>
      </c>
      <c r="I562" t="inlineStr">
        <is>
          <t xml:space="preserve">хлопок 100%</t>
        </is>
      </c>
      <c r="J562"/>
      <c r="K562" t="inlineStr">
        <is>
          <t xml:space="preserve">Бангладеш</t>
        </is>
      </c>
      <c r="L562" t="inlineStr">
        <is>
          <t xml:space="preserve">6110209100</t>
        </is>
      </c>
      <c r="M562" t="inlineStr">
        <is>
          <t xml:space="preserve">Декларация № ЕАЭС № BY/112 11.01. ТР017 122.01 08246, до 19.04.2028</t>
        </is>
      </c>
      <c r="N562" t="inlineStr">
        <is>
          <t xml:space="preserve">35 × 28 × 3</t>
        </is>
      </c>
      <c r="O562" t="inlineStr">
        <is>
          <t xml:space="preserve">0,36</t>
        </is>
      </c>
      <c r="P562" t="inlineStr">
        <is>
          <t xml:space="preserve">4816148123459</t>
        </is>
      </c>
      <c r="Q562" s="3" t="str">
        <f>HYPERLINK("https://modify.by/img/179216478/1.webp","фото")</f>
        <v>фото</v>
      </c>
      <c r="R562" s="3" t="str">
        <f>HYPERLINK("https://modify.by/catalog/svitery/179216478/?utm_source=price&amp;utm_medium=xlsx","открыть")</f>
        <v>открыть</v>
      </c>
    </row>
    <row r="563">
      <c r="A563" t="inlineStr">
        <is>
          <t xml:space="preserve">Мужской</t>
        </is>
      </c>
      <c r="B563" t="inlineStr">
        <is>
          <t xml:space="preserve">Свитеры</t>
        </is>
      </c>
      <c r="C563" t="inlineStr">
        <is>
          <t xml:space="preserve">свитер с горлом на молнии зимний, темно-синий</t>
        </is>
      </c>
      <c r="D563" t="inlineStr">
        <is>
          <t xml:space="preserve">SW32M37Темно-синий</t>
        </is>
      </c>
      <c r="E563" t="inlineStr">
        <is>
          <t xml:space="preserve">темно-синий</t>
        </is>
      </c>
      <c r="F563" t="inlineStr">
        <is>
          <t xml:space="preserve">xxl</t>
        </is>
      </c>
      <c r="G563">
        <v>1</v>
      </c>
      <c r="H563" s="2">
        <v>42.0</v>
      </c>
      <c r="I563" t="inlineStr">
        <is>
          <t xml:space="preserve">хлопок 100%</t>
        </is>
      </c>
      <c r="J563"/>
      <c r="K563" t="inlineStr">
        <is>
          <t xml:space="preserve">Бангладеш</t>
        </is>
      </c>
      <c r="L563" t="inlineStr">
        <is>
          <t xml:space="preserve">6110209100</t>
        </is>
      </c>
      <c r="M563" t="inlineStr">
        <is>
          <t xml:space="preserve">Декларация № ЕАЭС № BY/112 11.01. ТР017 122.01 08246, до 19.04.2028</t>
        </is>
      </c>
      <c r="N563" t="inlineStr">
        <is>
          <t xml:space="preserve">35 × 28 × 3</t>
        </is>
      </c>
      <c r="O563" t="inlineStr">
        <is>
          <t xml:space="preserve">0,41</t>
        </is>
      </c>
      <c r="P563" t="inlineStr">
        <is>
          <t xml:space="preserve">2038096160153</t>
        </is>
      </c>
      <c r="Q563" s="3" t="str">
        <f>HYPERLINK("https://modify.by/img/171170712/1.webp","фото")</f>
        <v>фото</v>
      </c>
      <c r="R563" s="3" t="str">
        <f>HYPERLINK("https://modify.by/catalog/svitery/171170712/?utm_source=price&amp;utm_medium=xlsx","открыть")</f>
        <v>открыть</v>
      </c>
    </row>
    <row r="564">
      <c r="A564" t="inlineStr">
        <is>
          <t xml:space="preserve">Мужской</t>
        </is>
      </c>
      <c r="B564" t="inlineStr">
        <is>
          <t xml:space="preserve">Свитеры</t>
        </is>
      </c>
      <c r="C564" t="inlineStr">
        <is>
          <t xml:space="preserve">свитер с горлом на молнии зимний, черный</t>
        </is>
      </c>
      <c r="D564" t="inlineStr">
        <is>
          <t xml:space="preserve">SW32M37Черный</t>
        </is>
      </c>
      <c r="E564" t="inlineStr">
        <is>
          <t xml:space="preserve">черный</t>
        </is>
      </c>
      <c r="F564" t="inlineStr">
        <is>
          <t xml:space="preserve">xl</t>
        </is>
      </c>
      <c r="G564">
        <v>8</v>
      </c>
      <c r="H564" s="2">
        <v>42.0</v>
      </c>
      <c r="I564" t="inlineStr">
        <is>
          <t xml:space="preserve">хлопок 100%</t>
        </is>
      </c>
      <c r="J564"/>
      <c r="K564" t="inlineStr">
        <is>
          <t xml:space="preserve">Бангладеш</t>
        </is>
      </c>
      <c r="L564" t="inlineStr">
        <is>
          <t xml:space="preserve">6110209100</t>
        </is>
      </c>
      <c r="M564" t="inlineStr">
        <is>
          <t xml:space="preserve">Декларация № ЕАЭС № BY/112 11.01. ТР017 122.01 08246, до 19.04.2028</t>
        </is>
      </c>
      <c r="N564" t="inlineStr">
        <is>
          <t xml:space="preserve">27 × 27 × 4</t>
        </is>
      </c>
      <c r="O564" t="inlineStr">
        <is>
          <t xml:space="preserve">0,41</t>
        </is>
      </c>
      <c r="P564" t="inlineStr">
        <is>
          <t xml:space="preserve">2038096160092</t>
        </is>
      </c>
      <c r="Q564" s="3" t="str">
        <f>HYPERLINK("https://modify.by/img/171170717/1.webp","фото")</f>
        <v>фото</v>
      </c>
      <c r="R564" s="3" t="str">
        <f>HYPERLINK("https://modify.by/catalog/svitery/171170717/?utm_source=price&amp;utm_medium=xlsx","открыть")</f>
        <v>открыть</v>
      </c>
    </row>
    <row r="565">
      <c r="A565" t="inlineStr">
        <is>
          <t xml:space="preserve">Мужской</t>
        </is>
      </c>
      <c r="B565" t="inlineStr">
        <is>
          <t xml:space="preserve">Толстовки</t>
        </is>
      </c>
      <c r="C565" t="inlineStr">
        <is>
          <t xml:space="preserve">Толстовка олимпийка белая на молнии хлопок</t>
        </is>
      </c>
      <c r="D565" t="inlineStr">
        <is>
          <t xml:space="preserve">HO62M01белый</t>
        </is>
      </c>
      <c r="E565" t="inlineStr">
        <is>
          <t xml:space="preserve">белый</t>
        </is>
      </c>
      <c r="F565" t="inlineStr">
        <is>
          <t xml:space="preserve">44-46</t>
        </is>
      </c>
      <c r="G565">
        <v>3</v>
      </c>
      <c r="H565" s="2">
        <v>44.0</v>
      </c>
      <c r="I565" t="inlineStr">
        <is>
          <t xml:space="preserve">80% хлопок, 20% полиэфирные волокна</t>
        </is>
      </c>
      <c r="J565"/>
      <c r="K565" t="inlineStr">
        <is>
          <t xml:space="preserve">Бангладеш</t>
        </is>
      </c>
      <c r="L565" t="inlineStr">
        <is>
          <t xml:space="preserve">6110209100</t>
        </is>
      </c>
      <c r="M565" t="inlineStr">
        <is>
          <t xml:space="preserve">Декларация № ЕАЭС № BY/112 11.01. ТР017 122.01 08246, до 19.04.2028</t>
        </is>
      </c>
      <c r="N565" t="inlineStr">
        <is>
          <t xml:space="preserve">39 × 30 × 5</t>
        </is>
      </c>
      <c r="O565" t="inlineStr">
        <is>
          <t xml:space="preserve">0,69</t>
        </is>
      </c>
      <c r="P565" t="inlineStr">
        <is>
          <t xml:space="preserve">4816148180155</t>
        </is>
      </c>
      <c r="Q565" s="3" t="str">
        <f>HYPERLINK("https://modify.by/img/880062415/1.webp","фото")</f>
        <v>фото</v>
      </c>
      <c r="R565" s="3" t="str">
        <f>HYPERLINK("https://modify.by/catalog/tolstovki/880062415/?utm_source=price&amp;utm_medium=xlsx","открыть")</f>
        <v>открыть</v>
      </c>
    </row>
    <row r="566">
      <c r="A566" t="inlineStr">
        <is>
          <t xml:space="preserve">Мужской</t>
        </is>
      </c>
      <c r="B566" t="inlineStr">
        <is>
          <t xml:space="preserve">Толстовки</t>
        </is>
      </c>
      <c r="C566" t="inlineStr">
        <is>
          <t xml:space="preserve">Толстовка олимпийка белая на молнии хлопок</t>
        </is>
      </c>
      <c r="D566" t="inlineStr">
        <is>
          <t xml:space="preserve">HO62M01белый</t>
        </is>
      </c>
      <c r="E566" t="inlineStr">
        <is>
          <t xml:space="preserve">белый</t>
        </is>
      </c>
      <c r="F566" t="inlineStr">
        <is>
          <t xml:space="preserve">46-48</t>
        </is>
      </c>
      <c r="G566">
        <v>10</v>
      </c>
      <c r="H566" s="2">
        <v>44.0</v>
      </c>
      <c r="I566" t="inlineStr">
        <is>
          <t xml:space="preserve">80% хлопок, 20% полиэфирные волокна</t>
        </is>
      </c>
      <c r="J566"/>
      <c r="K566" t="inlineStr">
        <is>
          <t xml:space="preserve">Бангладеш</t>
        </is>
      </c>
      <c r="L566" t="inlineStr">
        <is>
          <t xml:space="preserve">6110209100</t>
        </is>
      </c>
      <c r="M566" t="inlineStr">
        <is>
          <t xml:space="preserve">Декларация № ЕАЭС № BY/112 11.01. ТР017 122.01 08246, до 19.04.2028</t>
        </is>
      </c>
      <c r="N566" t="inlineStr">
        <is>
          <t xml:space="preserve">39 × 30 × 5</t>
        </is>
      </c>
      <c r="O566" t="inlineStr">
        <is>
          <t xml:space="preserve">0,69</t>
        </is>
      </c>
      <c r="P566" t="inlineStr">
        <is>
          <t xml:space="preserve">4816148180162</t>
        </is>
      </c>
      <c r="Q566" s="3" t="str">
        <f>HYPERLINK("https://modify.by/img/880062415/1.webp","фото")</f>
        <v>фото</v>
      </c>
      <c r="R566" s="3" t="str">
        <f>HYPERLINK("https://modify.by/catalog/tolstovki/880062415/?utm_source=price&amp;utm_medium=xlsx","открыть")</f>
        <v>открыть</v>
      </c>
    </row>
    <row r="567">
      <c r="A567" t="inlineStr">
        <is>
          <t xml:space="preserve">Мужской</t>
        </is>
      </c>
      <c r="B567" t="inlineStr">
        <is>
          <t xml:space="preserve">Толстовки</t>
        </is>
      </c>
      <c r="C567" t="inlineStr">
        <is>
          <t xml:space="preserve">Толстовка олимпийка белая на молнии хлопок</t>
        </is>
      </c>
      <c r="D567" t="inlineStr">
        <is>
          <t xml:space="preserve">HO62M01белый</t>
        </is>
      </c>
      <c r="E567" t="inlineStr">
        <is>
          <t xml:space="preserve">белый</t>
        </is>
      </c>
      <c r="F567" t="inlineStr">
        <is>
          <t xml:space="preserve">48-50</t>
        </is>
      </c>
      <c r="G567">
        <v>38</v>
      </c>
      <c r="H567" s="2">
        <v>44.0</v>
      </c>
      <c r="I567" t="inlineStr">
        <is>
          <t xml:space="preserve">80% хлопок, 20% полиэфирные волокна</t>
        </is>
      </c>
      <c r="J567"/>
      <c r="K567" t="inlineStr">
        <is>
          <t xml:space="preserve">Бангладеш</t>
        </is>
      </c>
      <c r="L567" t="inlineStr">
        <is>
          <t xml:space="preserve">6110209100</t>
        </is>
      </c>
      <c r="M567" t="inlineStr">
        <is>
          <t xml:space="preserve">Декларация № ЕАЭС № BY/112 11.01. ТР017 122.01 08246, до 19.04.2028</t>
        </is>
      </c>
      <c r="N567" t="inlineStr">
        <is>
          <t xml:space="preserve">39 × 30 × 5</t>
        </is>
      </c>
      <c r="O567" t="inlineStr">
        <is>
          <t xml:space="preserve">0,69</t>
        </is>
      </c>
      <c r="P567" t="inlineStr">
        <is>
          <t xml:space="preserve">4816148180179</t>
        </is>
      </c>
      <c r="Q567" s="3" t="str">
        <f>HYPERLINK("https://modify.by/img/880062415/1.webp","фото")</f>
        <v>фото</v>
      </c>
      <c r="R567" s="3" t="str">
        <f>HYPERLINK("https://modify.by/catalog/tolstovki/880062415/?utm_source=price&amp;utm_medium=xlsx","открыть")</f>
        <v>открыть</v>
      </c>
    </row>
    <row r="568">
      <c r="A568" t="inlineStr">
        <is>
          <t xml:space="preserve">Мужской</t>
        </is>
      </c>
      <c r="B568" t="inlineStr">
        <is>
          <t xml:space="preserve">Толстовки</t>
        </is>
      </c>
      <c r="C568" t="inlineStr">
        <is>
          <t xml:space="preserve">Толстовка олимпийка белая на молнии хлопок</t>
        </is>
      </c>
      <c r="D568" t="inlineStr">
        <is>
          <t xml:space="preserve">HO62M01белый</t>
        </is>
      </c>
      <c r="E568" t="inlineStr">
        <is>
          <t xml:space="preserve">белый</t>
        </is>
      </c>
      <c r="F568" t="inlineStr">
        <is>
          <t xml:space="preserve">50-52</t>
        </is>
      </c>
      <c r="G568">
        <v>5</v>
      </c>
      <c r="H568" s="2">
        <v>44.0</v>
      </c>
      <c r="I568" t="inlineStr">
        <is>
          <t xml:space="preserve">80% хлопок, 20% полиэфирные волокна</t>
        </is>
      </c>
      <c r="J568"/>
      <c r="K568" t="inlineStr">
        <is>
          <t xml:space="preserve">Бангладеш</t>
        </is>
      </c>
      <c r="L568" t="inlineStr">
        <is>
          <t xml:space="preserve">6110209100</t>
        </is>
      </c>
      <c r="M568" t="inlineStr">
        <is>
          <t xml:space="preserve">Декларация № ЕАЭС № BY/112 11.01. ТР017 122.01 08246, до 19.04.2028</t>
        </is>
      </c>
      <c r="N568" t="inlineStr">
        <is>
          <t xml:space="preserve">39 × 30 × 5</t>
        </is>
      </c>
      <c r="O568" t="inlineStr">
        <is>
          <t xml:space="preserve">0,69</t>
        </is>
      </c>
      <c r="P568" t="inlineStr">
        <is>
          <t xml:space="preserve">4816148180186</t>
        </is>
      </c>
      <c r="Q568" s="3" t="str">
        <f>HYPERLINK("https://modify.by/img/880062415/1.webp","фото")</f>
        <v>фото</v>
      </c>
      <c r="R568" s="3" t="str">
        <f>HYPERLINK("https://modify.by/catalog/tolstovki/880062415/?utm_source=price&amp;utm_medium=xlsx","открыть")</f>
        <v>открыть</v>
      </c>
    </row>
    <row r="569">
      <c r="A569" t="inlineStr">
        <is>
          <t xml:space="preserve">Мужской</t>
        </is>
      </c>
      <c r="B569" t="inlineStr">
        <is>
          <t xml:space="preserve">Толстовки</t>
        </is>
      </c>
      <c r="C569" t="inlineStr">
        <is>
          <t xml:space="preserve">Толстовка олимпийка белая на молнии хлопок</t>
        </is>
      </c>
      <c r="D569" t="inlineStr">
        <is>
          <t xml:space="preserve">HO62M01белый</t>
        </is>
      </c>
      <c r="E569" t="inlineStr">
        <is>
          <t xml:space="preserve">белый</t>
        </is>
      </c>
      <c r="F569" t="inlineStr">
        <is>
          <t xml:space="preserve">52-54</t>
        </is>
      </c>
      <c r="G569">
        <v>5</v>
      </c>
      <c r="H569" s="2">
        <v>44.0</v>
      </c>
      <c r="I569" t="inlineStr">
        <is>
          <t xml:space="preserve">80% хлопок, 20% полиэфирные волокна</t>
        </is>
      </c>
      <c r="J569"/>
      <c r="K569" t="inlineStr">
        <is>
          <t xml:space="preserve">Бангладеш</t>
        </is>
      </c>
      <c r="L569" t="inlineStr">
        <is>
          <t xml:space="preserve">6110209100</t>
        </is>
      </c>
      <c r="M569" t="inlineStr">
        <is>
          <t xml:space="preserve">Декларация № ЕАЭС № BY/112 11.01. ТР017 122.01 08246, до 19.04.2028</t>
        </is>
      </c>
      <c r="N569" t="inlineStr">
        <is>
          <t xml:space="preserve">39 × 30 × 5</t>
        </is>
      </c>
      <c r="O569" t="inlineStr">
        <is>
          <t xml:space="preserve">0,69</t>
        </is>
      </c>
      <c r="P569" t="inlineStr">
        <is>
          <t xml:space="preserve">4816148180193</t>
        </is>
      </c>
      <c r="Q569" s="3" t="str">
        <f>HYPERLINK("https://modify.by/img/880062415/1.webp","фото")</f>
        <v>фото</v>
      </c>
      <c r="R569" s="3" t="str">
        <f>HYPERLINK("https://modify.by/catalog/tolstovki/880062415/?utm_source=price&amp;utm_medium=xlsx","открыть")</f>
        <v>открыть</v>
      </c>
    </row>
    <row r="570">
      <c r="A570" t="inlineStr">
        <is>
          <t xml:space="preserve">Мужской</t>
        </is>
      </c>
      <c r="B570" t="inlineStr">
        <is>
          <t xml:space="preserve">Толстовки</t>
        </is>
      </c>
      <c r="C570" t="inlineStr">
        <is>
          <t xml:space="preserve">Толстовка олимпийка на молнии теплая</t>
        </is>
      </c>
      <c r="D570" t="inlineStr">
        <is>
          <t xml:space="preserve">HO62M01васильковый</t>
        </is>
      </c>
      <c r="E570" t="inlineStr">
        <is>
          <t xml:space="preserve">васильковый</t>
        </is>
      </c>
      <c r="F570" t="inlineStr">
        <is>
          <t xml:space="preserve">42-44</t>
        </is>
      </c>
      <c r="G570">
        <v>23</v>
      </c>
      <c r="H570" s="2">
        <v>44.0</v>
      </c>
      <c r="I570" t="inlineStr">
        <is>
          <t xml:space="preserve">80% хлопок, 20% полиэфирные волокна</t>
        </is>
      </c>
      <c r="J570"/>
      <c r="K570" t="inlineStr">
        <is>
          <t xml:space="preserve">Бангладеш</t>
        </is>
      </c>
      <c r="L570" t="inlineStr">
        <is>
          <t xml:space="preserve">6110209100</t>
        </is>
      </c>
      <c r="M570" t="inlineStr">
        <is>
          <t xml:space="preserve">Декларация № ЕАЭС № BY/112 11.01. ТР017 122.01 08246, до 19.04.2028</t>
        </is>
      </c>
      <c r="N570" t="inlineStr">
        <is>
          <t xml:space="preserve">39 × 30 × 5</t>
        </is>
      </c>
      <c r="O570" t="inlineStr">
        <is>
          <t xml:space="preserve">0,69</t>
        </is>
      </c>
      <c r="P570" t="inlineStr">
        <is>
          <t xml:space="preserve">4816148180223</t>
        </is>
      </c>
      <c r="Q570" s="3" t="str">
        <f>HYPERLINK("https://modify.by/img/880112922/1.webp","фото")</f>
        <v>фото</v>
      </c>
      <c r="R570" s="3" t="str">
        <f>HYPERLINK("https://modify.by/catalog/tolstovki/880112922/?utm_source=price&amp;utm_medium=xlsx","открыть")</f>
        <v>открыть</v>
      </c>
    </row>
    <row r="571">
      <c r="A571" t="inlineStr">
        <is>
          <t xml:space="preserve">Мужской</t>
        </is>
      </c>
      <c r="B571" t="inlineStr">
        <is>
          <t xml:space="preserve">Толстовки</t>
        </is>
      </c>
      <c r="C571" t="inlineStr">
        <is>
          <t xml:space="preserve">Толстовка олимпийка на молнии теплая</t>
        </is>
      </c>
      <c r="D571" t="inlineStr">
        <is>
          <t xml:space="preserve">HO62M01васильковый</t>
        </is>
      </c>
      <c r="E571" t="inlineStr">
        <is>
          <t xml:space="preserve">васильковый</t>
        </is>
      </c>
      <c r="F571" t="inlineStr">
        <is>
          <t xml:space="preserve">44-46</t>
        </is>
      </c>
      <c r="G571">
        <v>45</v>
      </c>
      <c r="H571" s="2">
        <v>44.0</v>
      </c>
      <c r="I571" t="inlineStr">
        <is>
          <t xml:space="preserve">80% хлопок, 20% полиэфирные волокна</t>
        </is>
      </c>
      <c r="J571"/>
      <c r="K571" t="inlineStr">
        <is>
          <t xml:space="preserve">Бангладеш</t>
        </is>
      </c>
      <c r="L571" t="inlineStr">
        <is>
          <t xml:space="preserve">6110209100</t>
        </is>
      </c>
      <c r="M571" t="inlineStr">
        <is>
          <t xml:space="preserve">Декларация № ЕАЭС № BY/112 11.01. ТР017 122.01 08246, до 19.04.2028</t>
        </is>
      </c>
      <c r="N571" t="inlineStr">
        <is>
          <t xml:space="preserve">39 × 30 × 5</t>
        </is>
      </c>
      <c r="O571" t="inlineStr">
        <is>
          <t xml:space="preserve">0,69</t>
        </is>
      </c>
      <c r="P571" t="inlineStr">
        <is>
          <t xml:space="preserve">4816148180230</t>
        </is>
      </c>
      <c r="Q571" s="3" t="str">
        <f>HYPERLINK("https://modify.by/img/880112922/1.webp","фото")</f>
        <v>фото</v>
      </c>
      <c r="R571" s="3" t="str">
        <f>HYPERLINK("https://modify.by/catalog/tolstovki/880112922/?utm_source=price&amp;utm_medium=xlsx","открыть")</f>
        <v>открыть</v>
      </c>
    </row>
    <row r="572">
      <c r="A572" t="inlineStr">
        <is>
          <t xml:space="preserve">Мужской</t>
        </is>
      </c>
      <c r="B572" t="inlineStr">
        <is>
          <t xml:space="preserve">Толстовки</t>
        </is>
      </c>
      <c r="C572" t="inlineStr">
        <is>
          <t xml:space="preserve">Толстовка олимпийка на молнии теплая</t>
        </is>
      </c>
      <c r="D572" t="inlineStr">
        <is>
          <t xml:space="preserve">HO62M01васильковый</t>
        </is>
      </c>
      <c r="E572" t="inlineStr">
        <is>
          <t xml:space="preserve">васильковый</t>
        </is>
      </c>
      <c r="F572" t="inlineStr">
        <is>
          <t xml:space="preserve">46-48</t>
        </is>
      </c>
      <c r="G572">
        <v>41</v>
      </c>
      <c r="H572" s="2">
        <v>44.0</v>
      </c>
      <c r="I572" t="inlineStr">
        <is>
          <t xml:space="preserve">80% хлопок, 20% полиэфирные волокна</t>
        </is>
      </c>
      <c r="J572"/>
      <c r="K572" t="inlineStr">
        <is>
          <t xml:space="preserve">Бангладеш</t>
        </is>
      </c>
      <c r="L572" t="inlineStr">
        <is>
          <t xml:space="preserve">6110209100</t>
        </is>
      </c>
      <c r="M572" t="inlineStr">
        <is>
          <t xml:space="preserve">Декларация № ЕАЭС № BY/112 11.01. ТР017 122.01 08246, до 19.04.2028</t>
        </is>
      </c>
      <c r="N572" t="inlineStr">
        <is>
          <t xml:space="preserve">39 × 30 × 5</t>
        </is>
      </c>
      <c r="O572" t="inlineStr">
        <is>
          <t xml:space="preserve">0,69</t>
        </is>
      </c>
      <c r="P572" t="inlineStr">
        <is>
          <t xml:space="preserve">4816148180247</t>
        </is>
      </c>
      <c r="Q572" s="3" t="str">
        <f>HYPERLINK("https://modify.by/img/880112922/1.webp","фото")</f>
        <v>фото</v>
      </c>
      <c r="R572" s="3" t="str">
        <f>HYPERLINK("https://modify.by/catalog/tolstovki/880112922/?utm_source=price&amp;utm_medium=xlsx","открыть")</f>
        <v>открыть</v>
      </c>
    </row>
    <row r="573">
      <c r="A573" t="inlineStr">
        <is>
          <t xml:space="preserve">Мужской</t>
        </is>
      </c>
      <c r="B573" t="inlineStr">
        <is>
          <t xml:space="preserve">Толстовки</t>
        </is>
      </c>
      <c r="C573" t="inlineStr">
        <is>
          <t xml:space="preserve">Толстовка олимпийка на молнии теплая</t>
        </is>
      </c>
      <c r="D573" t="inlineStr">
        <is>
          <t xml:space="preserve">HO62M01васильковый</t>
        </is>
      </c>
      <c r="E573" t="inlineStr">
        <is>
          <t xml:space="preserve">васильковый</t>
        </is>
      </c>
      <c r="F573" t="inlineStr">
        <is>
          <t xml:space="preserve">48-50</t>
        </is>
      </c>
      <c r="G573">
        <v>38</v>
      </c>
      <c r="H573" s="2">
        <v>44.0</v>
      </c>
      <c r="I573" t="inlineStr">
        <is>
          <t xml:space="preserve">80% хлопок, 20% полиэфирные волокна</t>
        </is>
      </c>
      <c r="J573"/>
      <c r="K573" t="inlineStr">
        <is>
          <t xml:space="preserve">Бангладеш</t>
        </is>
      </c>
      <c r="L573" t="inlineStr">
        <is>
          <t xml:space="preserve">6110209100</t>
        </is>
      </c>
      <c r="M573" t="inlineStr">
        <is>
          <t xml:space="preserve">Декларация № ЕАЭС № BY/112 11.01. ТР017 122.01 08246, до 19.04.2028</t>
        </is>
      </c>
      <c r="N573" t="inlineStr">
        <is>
          <t xml:space="preserve">39 × 30 × 5</t>
        </is>
      </c>
      <c r="O573" t="inlineStr">
        <is>
          <t xml:space="preserve">0,69</t>
        </is>
      </c>
      <c r="P573" t="inlineStr">
        <is>
          <t xml:space="preserve">4816148180254</t>
        </is>
      </c>
      <c r="Q573" s="3" t="str">
        <f>HYPERLINK("https://modify.by/img/880112922/1.webp","фото")</f>
        <v>фото</v>
      </c>
      <c r="R573" s="3" t="str">
        <f>HYPERLINK("https://modify.by/catalog/tolstovki/880112922/?utm_source=price&amp;utm_medium=xlsx","открыть")</f>
        <v>открыть</v>
      </c>
    </row>
    <row r="574">
      <c r="A574" t="inlineStr">
        <is>
          <t xml:space="preserve">Мужской</t>
        </is>
      </c>
      <c r="B574" t="inlineStr">
        <is>
          <t xml:space="preserve">Толстовки</t>
        </is>
      </c>
      <c r="C574" t="inlineStr">
        <is>
          <t xml:space="preserve">Толстовка олимпийка на молнии теплая</t>
        </is>
      </c>
      <c r="D574" t="inlineStr">
        <is>
          <t xml:space="preserve">HO62M01васильковый</t>
        </is>
      </c>
      <c r="E574" t="inlineStr">
        <is>
          <t xml:space="preserve">васильковый</t>
        </is>
      </c>
      <c r="F574" t="inlineStr">
        <is>
          <t xml:space="preserve">50-52</t>
        </is>
      </c>
      <c r="G574">
        <v>19</v>
      </c>
      <c r="H574" s="2">
        <v>44.0</v>
      </c>
      <c r="I574" t="inlineStr">
        <is>
          <t xml:space="preserve">80% хлопок, 20% полиэфирные волокна</t>
        </is>
      </c>
      <c r="J574"/>
      <c r="K574" t="inlineStr">
        <is>
          <t xml:space="preserve">Бангладеш</t>
        </is>
      </c>
      <c r="L574" t="inlineStr">
        <is>
          <t xml:space="preserve">6110209100</t>
        </is>
      </c>
      <c r="M574" t="inlineStr">
        <is>
          <t xml:space="preserve">Декларация № ЕАЭС № BY/112 11.01. ТР017 122.01 08246, до 19.04.2028</t>
        </is>
      </c>
      <c r="N574" t="inlineStr">
        <is>
          <t xml:space="preserve">39 × 30 × 5</t>
        </is>
      </c>
      <c r="O574" t="inlineStr">
        <is>
          <t xml:space="preserve">0,69</t>
        </is>
      </c>
      <c r="P574" t="inlineStr">
        <is>
          <t xml:space="preserve">4816148180261</t>
        </is>
      </c>
      <c r="Q574" s="3" t="str">
        <f>HYPERLINK("https://modify.by/img/880112922/1.webp","фото")</f>
        <v>фото</v>
      </c>
      <c r="R574" s="3" t="str">
        <f>HYPERLINK("https://modify.by/catalog/tolstovki/880112922/?utm_source=price&amp;utm_medium=xlsx","открыть")</f>
        <v>открыть</v>
      </c>
    </row>
    <row r="575">
      <c r="A575" t="inlineStr">
        <is>
          <t xml:space="preserve">Мужской</t>
        </is>
      </c>
      <c r="B575" t="inlineStr">
        <is>
          <t xml:space="preserve">Толстовки</t>
        </is>
      </c>
      <c r="C575" t="inlineStr">
        <is>
          <t xml:space="preserve">Толстовка олимпийка на молнии теплая</t>
        </is>
      </c>
      <c r="D575" t="inlineStr">
        <is>
          <t xml:space="preserve">HO62M01васильковый</t>
        </is>
      </c>
      <c r="E575" t="inlineStr">
        <is>
          <t xml:space="preserve">васильковый</t>
        </is>
      </c>
      <c r="F575" t="inlineStr">
        <is>
          <t xml:space="preserve">52-54</t>
        </is>
      </c>
      <c r="G575">
        <v>4</v>
      </c>
      <c r="H575" s="2">
        <v>44.0</v>
      </c>
      <c r="I575" t="inlineStr">
        <is>
          <t xml:space="preserve">80% хлопок, 20% полиэфирные волокна</t>
        </is>
      </c>
      <c r="J575"/>
      <c r="K575" t="inlineStr">
        <is>
          <t xml:space="preserve">Бангладеш</t>
        </is>
      </c>
      <c r="L575" t="inlineStr">
        <is>
          <t xml:space="preserve">6110209100</t>
        </is>
      </c>
      <c r="M575" t="inlineStr">
        <is>
          <t xml:space="preserve">Декларация № ЕАЭС № BY/112 11.01. ТР017 122.01 08246, до 19.04.2028</t>
        </is>
      </c>
      <c r="N575" t="inlineStr">
        <is>
          <t xml:space="preserve">39 × 30 × 5</t>
        </is>
      </c>
      <c r="O575" t="inlineStr">
        <is>
          <t xml:space="preserve">0,69</t>
        </is>
      </c>
      <c r="P575" t="inlineStr">
        <is>
          <t xml:space="preserve">4816148180278</t>
        </is>
      </c>
      <c r="Q575" s="3" t="str">
        <f>HYPERLINK("https://modify.by/img/880112922/1.webp","фото")</f>
        <v>фото</v>
      </c>
      <c r="R575" s="3" t="str">
        <f>HYPERLINK("https://modify.by/catalog/tolstovki/880112922/?utm_source=price&amp;utm_medium=xlsx","открыть")</f>
        <v>открыть</v>
      </c>
    </row>
    <row r="576">
      <c r="A576" t="inlineStr">
        <is>
          <t xml:space="preserve">Мужской</t>
        </is>
      </c>
      <c r="B576" t="inlineStr">
        <is>
          <t xml:space="preserve">Толстовки</t>
        </is>
      </c>
      <c r="C576" t="inlineStr">
        <is>
          <t xml:space="preserve">Толстовка олимпийка на молнии теплая</t>
        </is>
      </c>
      <c r="D576" t="inlineStr">
        <is>
          <t xml:space="preserve">HO62M01васильковый</t>
        </is>
      </c>
      <c r="E576" t="inlineStr">
        <is>
          <t xml:space="preserve">васильковый</t>
        </is>
      </c>
      <c r="F576" t="inlineStr">
        <is>
          <t xml:space="preserve">54-56</t>
        </is>
      </c>
      <c r="G576">
        <v>4</v>
      </c>
      <c r="H576" s="2">
        <v>44.0</v>
      </c>
      <c r="I576" t="inlineStr">
        <is>
          <t xml:space="preserve">80% хлопок, 20% полиэфирные волокна</t>
        </is>
      </c>
      <c r="J576"/>
      <c r="K576" t="inlineStr">
        <is>
          <t xml:space="preserve">Бангладеш</t>
        </is>
      </c>
      <c r="L576" t="inlineStr">
        <is>
          <t xml:space="preserve">6110209100</t>
        </is>
      </c>
      <c r="M576" t="inlineStr">
        <is>
          <t xml:space="preserve">Декларация № ЕАЭС № BY/112 11.01. ТР017 122.01 08246, до 19.04.2028</t>
        </is>
      </c>
      <c r="N576" t="inlineStr">
        <is>
          <t xml:space="preserve">39 × 30 × 5</t>
        </is>
      </c>
      <c r="O576" t="inlineStr">
        <is>
          <t xml:space="preserve">0,69</t>
        </is>
      </c>
      <c r="P576" t="inlineStr">
        <is>
          <t xml:space="preserve">4816148180285</t>
        </is>
      </c>
      <c r="Q576" s="3" t="str">
        <f>HYPERLINK("https://modify.by/img/880112922/1.webp","фото")</f>
        <v>фото</v>
      </c>
      <c r="R576" s="3" t="str">
        <f>HYPERLINK("https://modify.by/catalog/tolstovki/880112922/?utm_source=price&amp;utm_medium=xlsx","открыть")</f>
        <v>открыть</v>
      </c>
    </row>
    <row r="577">
      <c r="A577" t="inlineStr">
        <is>
          <t xml:space="preserve">Мужской</t>
        </is>
      </c>
      <c r="B577" t="inlineStr">
        <is>
          <t xml:space="preserve">Толстовки</t>
        </is>
      </c>
      <c r="C577" t="inlineStr">
        <is>
          <t xml:space="preserve">Толстовка олимпийка на молнии теплая</t>
        </is>
      </c>
      <c r="D577" t="inlineStr">
        <is>
          <t xml:space="preserve">HO62M01васильковый</t>
        </is>
      </c>
      <c r="E577" t="inlineStr">
        <is>
          <t xml:space="preserve">васильковый</t>
        </is>
      </c>
      <c r="F577" t="inlineStr">
        <is>
          <t xml:space="preserve">56-58</t>
        </is>
      </c>
      <c r="G577">
        <v>2</v>
      </c>
      <c r="H577" s="2">
        <v>44.0</v>
      </c>
      <c r="I577" t="inlineStr">
        <is>
          <t xml:space="preserve">80% хлопок, 20% полиэфирные волокна</t>
        </is>
      </c>
      <c r="J577"/>
      <c r="K577" t="inlineStr">
        <is>
          <t xml:space="preserve">Бангладеш</t>
        </is>
      </c>
      <c r="L577" t="inlineStr">
        <is>
          <t xml:space="preserve">6110209100</t>
        </is>
      </c>
      <c r="M577" t="inlineStr">
        <is>
          <t xml:space="preserve">Декларация № ЕАЭС № BY/112 11.01. ТР017 122.01 08246, до 19.04.2028</t>
        </is>
      </c>
      <c r="N577" t="inlineStr">
        <is>
          <t xml:space="preserve">39 × 30 × 5</t>
        </is>
      </c>
      <c r="O577" t="inlineStr">
        <is>
          <t xml:space="preserve">0,69</t>
        </is>
      </c>
      <c r="P577" t="inlineStr">
        <is>
          <t xml:space="preserve">4816148180292</t>
        </is>
      </c>
      <c r="Q577" s="3" t="str">
        <f>HYPERLINK("https://modify.by/img/880112922/1.webp","фото")</f>
        <v>фото</v>
      </c>
      <c r="R577" s="3" t="str">
        <f>HYPERLINK("https://modify.by/catalog/tolstovki/880112922/?utm_source=price&amp;utm_medium=xlsx","открыть")</f>
        <v>открыть</v>
      </c>
    </row>
    <row r="578">
      <c r="A578" t="inlineStr">
        <is>
          <t xml:space="preserve">Мужской</t>
        </is>
      </c>
      <c r="B578" t="inlineStr">
        <is>
          <t xml:space="preserve">Толстовки</t>
        </is>
      </c>
      <c r="C578" t="inlineStr">
        <is>
          <t xml:space="preserve">Толстовка олимпийка на молнии хлопок, красный</t>
        </is>
      </c>
      <c r="D578" t="inlineStr">
        <is>
          <t xml:space="preserve">HO62M01красный</t>
        </is>
      </c>
      <c r="E578" t="inlineStr">
        <is>
          <t xml:space="preserve">красный</t>
        </is>
      </c>
      <c r="F578" t="inlineStr">
        <is>
          <t xml:space="preserve">44-46</t>
        </is>
      </c>
      <c r="G578">
        <v>5</v>
      </c>
      <c r="H578" s="2">
        <v>44.0</v>
      </c>
      <c r="I578" t="inlineStr">
        <is>
          <t xml:space="preserve">80% хлопок, 20% полиэфирные волокна</t>
        </is>
      </c>
      <c r="J578"/>
      <c r="K578" t="inlineStr">
        <is>
          <t xml:space="preserve">Бангладеш</t>
        </is>
      </c>
      <c r="L578" t="inlineStr">
        <is>
          <t xml:space="preserve">6110209100</t>
        </is>
      </c>
      <c r="M578" t="inlineStr">
        <is>
          <t xml:space="preserve">Декларация № ЕАЭС № BY/112 11.01. ТР017 122.01 08246, до 19.04.2028</t>
        </is>
      </c>
      <c r="N578" t="inlineStr">
        <is>
          <t xml:space="preserve">39 × 30 × 5</t>
        </is>
      </c>
      <c r="O578" t="inlineStr">
        <is>
          <t xml:space="preserve">0,69</t>
        </is>
      </c>
      <c r="P578" t="inlineStr">
        <is>
          <t xml:space="preserve">4816148179821</t>
        </is>
      </c>
      <c r="Q578" s="3" t="str">
        <f>HYPERLINK("https://modify.by/img/824747836/1.webp","фото")</f>
        <v>фото</v>
      </c>
      <c r="R578" s="3" t="str">
        <f>HYPERLINK("https://modify.by/catalog/tolstovki/824747836/?utm_source=price&amp;utm_medium=xlsx","открыть")</f>
        <v>открыть</v>
      </c>
    </row>
    <row r="579">
      <c r="A579" t="inlineStr">
        <is>
          <t xml:space="preserve">Мужской</t>
        </is>
      </c>
      <c r="B579" t="inlineStr">
        <is>
          <t xml:space="preserve">Толстовки</t>
        </is>
      </c>
      <c r="C579" t="inlineStr">
        <is>
          <t xml:space="preserve">Толстовка олимпийка на молнии хлопок, красный</t>
        </is>
      </c>
      <c r="D579" t="inlineStr">
        <is>
          <t xml:space="preserve">HO62M01красный</t>
        </is>
      </c>
      <c r="E579" t="inlineStr">
        <is>
          <t xml:space="preserve">красный</t>
        </is>
      </c>
      <c r="F579" t="inlineStr">
        <is>
          <t xml:space="preserve">46-48</t>
        </is>
      </c>
      <c r="G579">
        <v>14</v>
      </c>
      <c r="H579" s="2">
        <v>44.0</v>
      </c>
      <c r="I579" t="inlineStr">
        <is>
          <t xml:space="preserve">80% хлопок, 20% полиэфирные волокна</t>
        </is>
      </c>
      <c r="J579"/>
      <c r="K579" t="inlineStr">
        <is>
          <t xml:space="preserve">Бангладеш</t>
        </is>
      </c>
      <c r="L579" t="inlineStr">
        <is>
          <t xml:space="preserve">6110209100</t>
        </is>
      </c>
      <c r="M579" t="inlineStr">
        <is>
          <t xml:space="preserve">Декларация № ЕАЭС № BY/112 11.01. ТР017 122.01 08246, до 19.04.2028</t>
        </is>
      </c>
      <c r="N579" t="inlineStr">
        <is>
          <t xml:space="preserve">39 × 30 × 5</t>
        </is>
      </c>
      <c r="O579" t="inlineStr">
        <is>
          <t xml:space="preserve">0,69</t>
        </is>
      </c>
      <c r="P579" t="inlineStr">
        <is>
          <t xml:space="preserve">4816148179838</t>
        </is>
      </c>
      <c r="Q579" s="3" t="str">
        <f>HYPERLINK("https://modify.by/img/824747836/1.webp","фото")</f>
        <v>фото</v>
      </c>
      <c r="R579" s="3" t="str">
        <f>HYPERLINK("https://modify.by/catalog/tolstovki/824747836/?utm_source=price&amp;utm_medium=xlsx","открыть")</f>
        <v>открыть</v>
      </c>
    </row>
    <row r="580">
      <c r="A580" t="inlineStr">
        <is>
          <t xml:space="preserve">Мужской</t>
        </is>
      </c>
      <c r="B580" t="inlineStr">
        <is>
          <t xml:space="preserve">Толстовки</t>
        </is>
      </c>
      <c r="C580" t="inlineStr">
        <is>
          <t xml:space="preserve">Толстовка олимпийка на молнии хлопок, красный</t>
        </is>
      </c>
      <c r="D580" t="inlineStr">
        <is>
          <t xml:space="preserve">HO62M01красный</t>
        </is>
      </c>
      <c r="E580" t="inlineStr">
        <is>
          <t xml:space="preserve">красный</t>
        </is>
      </c>
      <c r="F580" t="inlineStr">
        <is>
          <t xml:space="preserve">48-50</t>
        </is>
      </c>
      <c r="G580">
        <v>19</v>
      </c>
      <c r="H580" s="2">
        <v>44.0</v>
      </c>
      <c r="I580" t="inlineStr">
        <is>
          <t xml:space="preserve">80% хлопок, 20% полиэфирные волокна</t>
        </is>
      </c>
      <c r="J580"/>
      <c r="K580" t="inlineStr">
        <is>
          <t xml:space="preserve">Бангладеш</t>
        </is>
      </c>
      <c r="L580" t="inlineStr">
        <is>
          <t xml:space="preserve">6110209100</t>
        </is>
      </c>
      <c r="M580" t="inlineStr">
        <is>
          <t xml:space="preserve">Декларация № ЕАЭС № BY/112 11.01. ТР017 122.01 08246, до 19.04.2028</t>
        </is>
      </c>
      <c r="N580" t="inlineStr">
        <is>
          <t xml:space="preserve">39 × 30 × 5</t>
        </is>
      </c>
      <c r="O580" t="inlineStr">
        <is>
          <t xml:space="preserve">0,69</t>
        </is>
      </c>
      <c r="P580" t="inlineStr">
        <is>
          <t xml:space="preserve">4816148179845</t>
        </is>
      </c>
      <c r="Q580" s="3" t="str">
        <f>HYPERLINK("https://modify.by/img/824747836/1.webp","фото")</f>
        <v>фото</v>
      </c>
      <c r="R580" s="3" t="str">
        <f>HYPERLINK("https://modify.by/catalog/tolstovki/824747836/?utm_source=price&amp;utm_medium=xlsx","открыть")</f>
        <v>открыть</v>
      </c>
    </row>
    <row r="581">
      <c r="A581" t="inlineStr">
        <is>
          <t xml:space="preserve">Мужской</t>
        </is>
      </c>
      <c r="B581" t="inlineStr">
        <is>
          <t xml:space="preserve">Толстовки</t>
        </is>
      </c>
      <c r="C581" t="inlineStr">
        <is>
          <t xml:space="preserve">Толстовка олимпийка на молнии хлопок, красный</t>
        </is>
      </c>
      <c r="D581" t="inlineStr">
        <is>
          <t xml:space="preserve">HO62M01красный</t>
        </is>
      </c>
      <c r="E581" t="inlineStr">
        <is>
          <t xml:space="preserve">красный</t>
        </is>
      </c>
      <c r="F581" t="inlineStr">
        <is>
          <t xml:space="preserve">50-52</t>
        </is>
      </c>
      <c r="G581">
        <v>2</v>
      </c>
      <c r="H581" s="2">
        <v>44.0</v>
      </c>
      <c r="I581" t="inlineStr">
        <is>
          <t xml:space="preserve">80% хлопок, 20% полиэфирные волокна</t>
        </is>
      </c>
      <c r="J581"/>
      <c r="K581" t="inlineStr">
        <is>
          <t xml:space="preserve">Бангладеш</t>
        </is>
      </c>
      <c r="L581" t="inlineStr">
        <is>
          <t xml:space="preserve">6110209100</t>
        </is>
      </c>
      <c r="M581" t="inlineStr">
        <is>
          <t xml:space="preserve">Декларация № ЕАЭС № BY/112 11.01. ТР017 122.01 08246, до 19.04.2028</t>
        </is>
      </c>
      <c r="N581" t="inlineStr">
        <is>
          <t xml:space="preserve">39 × 30 × 5</t>
        </is>
      </c>
      <c r="O581" t="inlineStr">
        <is>
          <t xml:space="preserve">0,69</t>
        </is>
      </c>
      <c r="P581" t="inlineStr">
        <is>
          <t xml:space="preserve">4816148179852</t>
        </is>
      </c>
      <c r="Q581" s="3" t="str">
        <f>HYPERLINK("https://modify.by/img/824747836/1.webp","фото")</f>
        <v>фото</v>
      </c>
      <c r="R581" s="3" t="str">
        <f>HYPERLINK("https://modify.by/catalog/tolstovki/824747836/?utm_source=price&amp;utm_medium=xlsx","открыть")</f>
        <v>открыть</v>
      </c>
    </row>
    <row r="582">
      <c r="A582" t="inlineStr">
        <is>
          <t xml:space="preserve">Мужской</t>
        </is>
      </c>
      <c r="B582" t="inlineStr">
        <is>
          <t xml:space="preserve">Толстовки</t>
        </is>
      </c>
      <c r="C582" t="inlineStr">
        <is>
          <t xml:space="preserve">Толстовка олимпийка на молнии хлопок, красный</t>
        </is>
      </c>
      <c r="D582" t="inlineStr">
        <is>
          <t xml:space="preserve">HO62M01красный</t>
        </is>
      </c>
      <c r="E582" t="inlineStr">
        <is>
          <t xml:space="preserve">красный</t>
        </is>
      </c>
      <c r="F582" t="inlineStr">
        <is>
          <t xml:space="preserve">52-54</t>
        </is>
      </c>
      <c r="G582">
        <v>1</v>
      </c>
      <c r="H582" s="2">
        <v>44.0</v>
      </c>
      <c r="I582" t="inlineStr">
        <is>
          <t xml:space="preserve">80% хлопок, 20% полиэфирные волокна</t>
        </is>
      </c>
      <c r="J582"/>
      <c r="K582" t="inlineStr">
        <is>
          <t xml:space="preserve">Бангладеш</t>
        </is>
      </c>
      <c r="L582" t="inlineStr">
        <is>
          <t xml:space="preserve">6110209100</t>
        </is>
      </c>
      <c r="M582" t="inlineStr">
        <is>
          <t xml:space="preserve">Декларация № ЕАЭС № BY/112 11.01. ТР017 122.01 08246, до 19.04.2028</t>
        </is>
      </c>
      <c r="N582" t="inlineStr">
        <is>
          <t xml:space="preserve">39 × 30 × 5</t>
        </is>
      </c>
      <c r="O582" t="inlineStr">
        <is>
          <t xml:space="preserve">0,69</t>
        </is>
      </c>
      <c r="P582" t="inlineStr">
        <is>
          <t xml:space="preserve">4816148179869</t>
        </is>
      </c>
      <c r="Q582" s="3" t="str">
        <f>HYPERLINK("https://modify.by/img/824747836/1.webp","фото")</f>
        <v>фото</v>
      </c>
      <c r="R582" s="3" t="str">
        <f>HYPERLINK("https://modify.by/catalog/tolstovki/824747836/?utm_source=price&amp;utm_medium=xlsx","открыть")</f>
        <v>открыть</v>
      </c>
    </row>
    <row r="583">
      <c r="A583" t="inlineStr">
        <is>
          <t xml:space="preserve">Мужской</t>
        </is>
      </c>
      <c r="B583" t="inlineStr">
        <is>
          <t xml:space="preserve">Толстовки</t>
        </is>
      </c>
      <c r="C583" t="inlineStr">
        <is>
          <t xml:space="preserve">Толстовка олимпийка на молнии хлопок, темно-синий</t>
        </is>
      </c>
      <c r="D583" t="inlineStr">
        <is>
          <t xml:space="preserve">HO62M01темно-синий</t>
        </is>
      </c>
      <c r="E583" t="inlineStr">
        <is>
          <t xml:space="preserve">темно-синий</t>
        </is>
      </c>
      <c r="F583" t="inlineStr">
        <is>
          <t xml:space="preserve">42-44</t>
        </is>
      </c>
      <c r="G583">
        <v>4</v>
      </c>
      <c r="H583" s="2">
        <v>44.0</v>
      </c>
      <c r="I583" t="inlineStr">
        <is>
          <t xml:space="preserve">80% хлопок, 20% полиэфирные волокна</t>
        </is>
      </c>
      <c r="J583"/>
      <c r="K583" t="inlineStr">
        <is>
          <t xml:space="preserve">Бангладеш</t>
        </is>
      </c>
      <c r="L583" t="inlineStr">
        <is>
          <t xml:space="preserve">6110209100</t>
        </is>
      </c>
      <c r="M583" t="inlineStr">
        <is>
          <t xml:space="preserve">Декларация № ЕАЭС № BY/112 11.01. ТР017 122.01 08246, до 19.04.2028</t>
        </is>
      </c>
      <c r="N583" t="inlineStr">
        <is>
          <t xml:space="preserve">39 × 30 × 5</t>
        </is>
      </c>
      <c r="O583" t="inlineStr">
        <is>
          <t xml:space="preserve">0,69</t>
        </is>
      </c>
      <c r="P583" t="inlineStr">
        <is>
          <t xml:space="preserve">4816148179692</t>
        </is>
      </c>
      <c r="Q583" s="3" t="str">
        <f>HYPERLINK("https://modify.by/img/824747834/1.webp","фото")</f>
        <v>фото</v>
      </c>
      <c r="R583" s="3" t="str">
        <f>HYPERLINK("https://modify.by/catalog/tolstovki/824747834/?utm_source=price&amp;utm_medium=xlsx","открыть")</f>
        <v>открыть</v>
      </c>
    </row>
    <row r="584">
      <c r="A584" t="inlineStr">
        <is>
          <t xml:space="preserve">Мужской</t>
        </is>
      </c>
      <c r="B584" t="inlineStr">
        <is>
          <t xml:space="preserve">Толстовки</t>
        </is>
      </c>
      <c r="C584" t="inlineStr">
        <is>
          <t xml:space="preserve">Толстовка олимпийка на молнии хлопок, темно-синий</t>
        </is>
      </c>
      <c r="D584" t="inlineStr">
        <is>
          <t xml:space="preserve">HO62M01темно-синий</t>
        </is>
      </c>
      <c r="E584" t="inlineStr">
        <is>
          <t xml:space="preserve">темно-синий</t>
        </is>
      </c>
      <c r="F584" t="inlineStr">
        <is>
          <t xml:space="preserve">44-46</t>
        </is>
      </c>
      <c r="G584">
        <v>5</v>
      </c>
      <c r="H584" s="2">
        <v>44.0</v>
      </c>
      <c r="I584" t="inlineStr">
        <is>
          <t xml:space="preserve">80% хлопок, 20% полиэфирные волокна</t>
        </is>
      </c>
      <c r="J584"/>
      <c r="K584" t="inlineStr">
        <is>
          <t xml:space="preserve">Бангладеш</t>
        </is>
      </c>
      <c r="L584" t="inlineStr">
        <is>
          <t xml:space="preserve">6110209100</t>
        </is>
      </c>
      <c r="M584" t="inlineStr">
        <is>
          <t xml:space="preserve">Декларация № ЕАЭС № BY/112 11.01. ТР017 122.01 08246, до 19.04.2028</t>
        </is>
      </c>
      <c r="N584" t="inlineStr">
        <is>
          <t xml:space="preserve">39 × 30 × 5</t>
        </is>
      </c>
      <c r="O584" t="inlineStr">
        <is>
          <t xml:space="preserve">0,69</t>
        </is>
      </c>
      <c r="P584" t="inlineStr">
        <is>
          <t xml:space="preserve">4816148179708</t>
        </is>
      </c>
      <c r="Q584" s="3" t="str">
        <f>HYPERLINK("https://modify.by/img/824747834/1.webp","фото")</f>
        <v>фото</v>
      </c>
      <c r="R584" s="3" t="str">
        <f>HYPERLINK("https://modify.by/catalog/tolstovki/824747834/?utm_source=price&amp;utm_medium=xlsx","открыть")</f>
        <v>открыть</v>
      </c>
    </row>
    <row r="585">
      <c r="A585" t="inlineStr">
        <is>
          <t xml:space="preserve">Мужской</t>
        </is>
      </c>
      <c r="B585" t="inlineStr">
        <is>
          <t xml:space="preserve">Толстовки</t>
        </is>
      </c>
      <c r="C585" t="inlineStr">
        <is>
          <t xml:space="preserve">Толстовка олимпийка на молнии хлопок, темно-синий</t>
        </is>
      </c>
      <c r="D585" t="inlineStr">
        <is>
          <t xml:space="preserve">HO62M01темно-синий</t>
        </is>
      </c>
      <c r="E585" t="inlineStr">
        <is>
          <t xml:space="preserve">темно-синий</t>
        </is>
      </c>
      <c r="F585" t="inlineStr">
        <is>
          <t xml:space="preserve">46-48</t>
        </is>
      </c>
      <c r="G585">
        <v>2</v>
      </c>
      <c r="H585" s="2">
        <v>44.0</v>
      </c>
      <c r="I585" t="inlineStr">
        <is>
          <t xml:space="preserve">80% хлопок, 20% полиэфирные волокна</t>
        </is>
      </c>
      <c r="J585"/>
      <c r="K585" t="inlineStr">
        <is>
          <t xml:space="preserve">Бангладеш</t>
        </is>
      </c>
      <c r="L585" t="inlineStr">
        <is>
          <t xml:space="preserve">6110209100</t>
        </is>
      </c>
      <c r="M585" t="inlineStr">
        <is>
          <t xml:space="preserve">Декларация № ЕАЭС № BY/112 11.01. ТР017 122.01 08246, до 19.04.2028</t>
        </is>
      </c>
      <c r="N585" t="inlineStr">
        <is>
          <t xml:space="preserve">39 × 30 × 5</t>
        </is>
      </c>
      <c r="O585" t="inlineStr">
        <is>
          <t xml:space="preserve">0,69</t>
        </is>
      </c>
      <c r="P585" t="inlineStr">
        <is>
          <t xml:space="preserve">4816148179715</t>
        </is>
      </c>
      <c r="Q585" s="3" t="str">
        <f>HYPERLINK("https://modify.by/img/824747834/1.webp","фото")</f>
        <v>фото</v>
      </c>
      <c r="R585" s="3" t="str">
        <f>HYPERLINK("https://modify.by/catalog/tolstovki/824747834/?utm_source=price&amp;utm_medium=xlsx","открыть")</f>
        <v>открыть</v>
      </c>
    </row>
    <row r="586">
      <c r="A586" t="inlineStr">
        <is>
          <t xml:space="preserve">Мужской</t>
        </is>
      </c>
      <c r="B586" t="inlineStr">
        <is>
          <t xml:space="preserve">Толстовки</t>
        </is>
      </c>
      <c r="C586" t="inlineStr">
        <is>
          <t xml:space="preserve">Толстовка олимпийка на молнии хлопок, темно-синий</t>
        </is>
      </c>
      <c r="D586" t="inlineStr">
        <is>
          <t xml:space="preserve">HO62M01темно-синий</t>
        </is>
      </c>
      <c r="E586" t="inlineStr">
        <is>
          <t xml:space="preserve">темно-синий</t>
        </is>
      </c>
      <c r="F586" t="inlineStr">
        <is>
          <t xml:space="preserve">48-50</t>
        </is>
      </c>
      <c r="G586">
        <v>1</v>
      </c>
      <c r="H586" s="2">
        <v>44.0</v>
      </c>
      <c r="I586" t="inlineStr">
        <is>
          <t xml:space="preserve">80% хлопок, 20% полиэфирные волокна</t>
        </is>
      </c>
      <c r="J586"/>
      <c r="K586" t="inlineStr">
        <is>
          <t xml:space="preserve">Бангладеш</t>
        </is>
      </c>
      <c r="L586" t="inlineStr">
        <is>
          <t xml:space="preserve">6110209100</t>
        </is>
      </c>
      <c r="M586" t="inlineStr">
        <is>
          <t xml:space="preserve">Декларация № ЕАЭС № BY/112 11.01. ТР017 122.01 08246, до 19.04.2028</t>
        </is>
      </c>
      <c r="N586" t="inlineStr">
        <is>
          <t xml:space="preserve">39 × 30 × 5</t>
        </is>
      </c>
      <c r="O586" t="inlineStr">
        <is>
          <t xml:space="preserve">0,69</t>
        </is>
      </c>
      <c r="P586" t="inlineStr">
        <is>
          <t xml:space="preserve">4816148179722</t>
        </is>
      </c>
      <c r="Q586" s="3" t="str">
        <f>HYPERLINK("https://modify.by/img/824747834/1.webp","фото")</f>
        <v>фото</v>
      </c>
      <c r="R586" s="3" t="str">
        <f>HYPERLINK("https://modify.by/catalog/tolstovki/824747834/?utm_source=price&amp;utm_medium=xlsx","открыть")</f>
        <v>открыть</v>
      </c>
    </row>
    <row r="587">
      <c r="A587" t="inlineStr">
        <is>
          <t xml:space="preserve">Мужской</t>
        </is>
      </c>
      <c r="B587" t="inlineStr">
        <is>
          <t xml:space="preserve">Толстовки</t>
        </is>
      </c>
      <c r="C587" t="inlineStr">
        <is>
          <t xml:space="preserve">Толстовка олимпийка на молнии хлопок, темно-синий</t>
        </is>
      </c>
      <c r="D587" t="inlineStr">
        <is>
          <t xml:space="preserve">HO62M01темно-синий</t>
        </is>
      </c>
      <c r="E587" t="inlineStr">
        <is>
          <t xml:space="preserve">темно-синий</t>
        </is>
      </c>
      <c r="F587" t="inlineStr">
        <is>
          <t xml:space="preserve">50-52</t>
        </is>
      </c>
      <c r="G587">
        <v>2</v>
      </c>
      <c r="H587" s="2">
        <v>44.0</v>
      </c>
      <c r="I587" t="inlineStr">
        <is>
          <t xml:space="preserve">80% хлопок, 20% полиэфирные волокна</t>
        </is>
      </c>
      <c r="J587"/>
      <c r="K587" t="inlineStr">
        <is>
          <t xml:space="preserve">Бангладеш</t>
        </is>
      </c>
      <c r="L587" t="inlineStr">
        <is>
          <t xml:space="preserve">6110209100</t>
        </is>
      </c>
      <c r="M587" t="inlineStr">
        <is>
          <t xml:space="preserve">Декларация № ЕАЭС № BY/112 11.01. ТР017 122.01 08246, до 19.04.2028</t>
        </is>
      </c>
      <c r="N587" t="inlineStr">
        <is>
          <t xml:space="preserve">39 × 30 × 5</t>
        </is>
      </c>
      <c r="O587" t="inlineStr">
        <is>
          <t xml:space="preserve">0,69</t>
        </is>
      </c>
      <c r="P587" t="inlineStr">
        <is>
          <t xml:space="preserve">4816148179739</t>
        </is>
      </c>
      <c r="Q587" s="3" t="str">
        <f>HYPERLINK("https://modify.by/img/824747834/1.webp","фото")</f>
        <v>фото</v>
      </c>
      <c r="R587" s="3" t="str">
        <f>HYPERLINK("https://modify.by/catalog/tolstovki/824747834/?utm_source=price&amp;utm_medium=xlsx","открыть")</f>
        <v>открыть</v>
      </c>
    </row>
    <row r="588">
      <c r="A588" t="inlineStr">
        <is>
          <t xml:space="preserve">Мужской</t>
        </is>
      </c>
      <c r="B588" t="inlineStr">
        <is>
          <t xml:space="preserve">Толстовки</t>
        </is>
      </c>
      <c r="C588" t="inlineStr">
        <is>
          <t xml:space="preserve">Толстовка олимпийка на молнии хлопок, черный</t>
        </is>
      </c>
      <c r="D588" t="inlineStr">
        <is>
          <t xml:space="preserve">HO62M01черный</t>
        </is>
      </c>
      <c r="E588" t="inlineStr">
        <is>
          <t xml:space="preserve">черный</t>
        </is>
      </c>
      <c r="F588" t="inlineStr">
        <is>
          <t xml:space="preserve">44-46</t>
        </is>
      </c>
      <c r="G588">
        <v>6</v>
      </c>
      <c r="H588" s="2">
        <v>44.0</v>
      </c>
      <c r="I588" t="inlineStr">
        <is>
          <t xml:space="preserve">80% хлопок, 20% полиэфирные волокна</t>
        </is>
      </c>
      <c r="J588"/>
      <c r="K588" t="inlineStr">
        <is>
          <t xml:space="preserve">Бангладеш</t>
        </is>
      </c>
      <c r="L588" t="inlineStr">
        <is>
          <t xml:space="preserve">6110209100</t>
        </is>
      </c>
      <c r="M588" t="inlineStr">
        <is>
          <t xml:space="preserve">Декларация № ЕАЭС № BY/112 11.01. ТР017 122.01 08246, до 19.04.2028</t>
        </is>
      </c>
      <c r="N588" t="inlineStr">
        <is>
          <t xml:space="preserve">39 × 30 × 5</t>
        </is>
      </c>
      <c r="O588" t="inlineStr">
        <is>
          <t xml:space="preserve">0,69</t>
        </is>
      </c>
      <c r="P588" t="inlineStr">
        <is>
          <t xml:space="preserve">4816148179760</t>
        </is>
      </c>
      <c r="Q588" s="3" t="str">
        <f>HYPERLINK("https://modify.by/img/824747835/1.webp","фото")</f>
        <v>фото</v>
      </c>
      <c r="R588" s="3" t="str">
        <f>HYPERLINK("https://modify.by/catalog/tolstovki/824747835/?utm_source=price&amp;utm_medium=xlsx","открыть")</f>
        <v>открыть</v>
      </c>
    </row>
    <row r="589">
      <c r="A589" t="inlineStr">
        <is>
          <t xml:space="preserve">Мужской</t>
        </is>
      </c>
      <c r="B589" t="inlineStr">
        <is>
          <t xml:space="preserve">Толстовки</t>
        </is>
      </c>
      <c r="C589" t="inlineStr">
        <is>
          <t xml:space="preserve">Толстовка олимпийка на молнии хлопок, черный</t>
        </is>
      </c>
      <c r="D589" t="inlineStr">
        <is>
          <t xml:space="preserve">HO62M01черный</t>
        </is>
      </c>
      <c r="E589" t="inlineStr">
        <is>
          <t xml:space="preserve">черный</t>
        </is>
      </c>
      <c r="F589" t="inlineStr">
        <is>
          <t xml:space="preserve">46-48</t>
        </is>
      </c>
      <c r="G589">
        <v>31</v>
      </c>
      <c r="H589" s="2">
        <v>44.0</v>
      </c>
      <c r="I589" t="inlineStr">
        <is>
          <t xml:space="preserve">80% хлопок, 20% полиэфирные волокна</t>
        </is>
      </c>
      <c r="J589"/>
      <c r="K589" t="inlineStr">
        <is>
          <t xml:space="preserve">Бангладеш</t>
        </is>
      </c>
      <c r="L589" t="inlineStr">
        <is>
          <t xml:space="preserve">6110209100</t>
        </is>
      </c>
      <c r="M589" t="inlineStr">
        <is>
          <t xml:space="preserve">Декларация № ЕАЭС № BY/112 11.01. ТР017 122.01 08246, до 19.04.2028</t>
        </is>
      </c>
      <c r="N589" t="inlineStr">
        <is>
          <t xml:space="preserve">39 × 30 × 5</t>
        </is>
      </c>
      <c r="O589" t="inlineStr">
        <is>
          <t xml:space="preserve">0,69</t>
        </is>
      </c>
      <c r="P589" t="inlineStr">
        <is>
          <t xml:space="preserve">4816148179777</t>
        </is>
      </c>
      <c r="Q589" s="3" t="str">
        <f>HYPERLINK("https://modify.by/img/824747835/1.webp","фото")</f>
        <v>фото</v>
      </c>
      <c r="R589" s="3" t="str">
        <f>HYPERLINK("https://modify.by/catalog/tolstovki/824747835/?utm_source=price&amp;utm_medium=xlsx","открыть")</f>
        <v>открыть</v>
      </c>
    </row>
    <row r="590">
      <c r="A590" t="inlineStr">
        <is>
          <t xml:space="preserve">Мужской</t>
        </is>
      </c>
      <c r="B590" t="inlineStr">
        <is>
          <t xml:space="preserve">Толстовки</t>
        </is>
      </c>
      <c r="C590" t="inlineStr">
        <is>
          <t xml:space="preserve">Толстовка олимпийка на молнии хлопок, черный</t>
        </is>
      </c>
      <c r="D590" t="inlineStr">
        <is>
          <t xml:space="preserve">HO62M01черный</t>
        </is>
      </c>
      <c r="E590" t="inlineStr">
        <is>
          <t xml:space="preserve">черный</t>
        </is>
      </c>
      <c r="F590" t="inlineStr">
        <is>
          <t xml:space="preserve">48-50</t>
        </is>
      </c>
      <c r="G590">
        <v>6</v>
      </c>
      <c r="H590" s="2">
        <v>44.0</v>
      </c>
      <c r="I590" t="inlineStr">
        <is>
          <t xml:space="preserve">80% хлопок, 20% полиэфирные волокна</t>
        </is>
      </c>
      <c r="J590"/>
      <c r="K590" t="inlineStr">
        <is>
          <t xml:space="preserve">Бангладеш</t>
        </is>
      </c>
      <c r="L590" t="inlineStr">
        <is>
          <t xml:space="preserve">6110209100</t>
        </is>
      </c>
      <c r="M590" t="inlineStr">
        <is>
          <t xml:space="preserve">Декларация № ЕАЭС № BY/112 11.01. ТР017 122.01 08246, до 19.04.2028</t>
        </is>
      </c>
      <c r="N590" t="inlineStr">
        <is>
          <t xml:space="preserve">39 × 30 × 5</t>
        </is>
      </c>
      <c r="O590" t="inlineStr">
        <is>
          <t xml:space="preserve">0,69</t>
        </is>
      </c>
      <c r="P590" t="inlineStr">
        <is>
          <t xml:space="preserve">4816148179784</t>
        </is>
      </c>
      <c r="Q590" s="3" t="str">
        <f>HYPERLINK("https://modify.by/img/824747835/1.webp","фото")</f>
        <v>фото</v>
      </c>
      <c r="R590" s="3" t="str">
        <f>HYPERLINK("https://modify.by/catalog/tolstovki/824747835/?utm_source=price&amp;utm_medium=xlsx","открыть")</f>
        <v>открыть</v>
      </c>
    </row>
    <row r="591">
      <c r="A591" t="inlineStr">
        <is>
          <t xml:space="preserve">Мужской</t>
        </is>
      </c>
      <c r="B591" t="inlineStr">
        <is>
          <t xml:space="preserve">Толстовки</t>
        </is>
      </c>
      <c r="C591" t="inlineStr">
        <is>
          <t xml:space="preserve">Толстовка олимпийка на молнии хлопок, черный</t>
        </is>
      </c>
      <c r="D591" t="inlineStr">
        <is>
          <t xml:space="preserve">HO62M01черный</t>
        </is>
      </c>
      <c r="E591" t="inlineStr">
        <is>
          <t xml:space="preserve">черный</t>
        </is>
      </c>
      <c r="F591" t="inlineStr">
        <is>
          <t xml:space="preserve">50-52</t>
        </is>
      </c>
      <c r="G591">
        <v>2</v>
      </c>
      <c r="H591" s="2">
        <v>44.0</v>
      </c>
      <c r="I591" t="inlineStr">
        <is>
          <t xml:space="preserve">80% хлопок, 20% полиэфирные волокна</t>
        </is>
      </c>
      <c r="J591"/>
      <c r="K591" t="inlineStr">
        <is>
          <t xml:space="preserve">Бангладеш</t>
        </is>
      </c>
      <c r="L591" t="inlineStr">
        <is>
          <t xml:space="preserve">6110209100</t>
        </is>
      </c>
      <c r="M591" t="inlineStr">
        <is>
          <t xml:space="preserve">Декларация № ЕАЭС № BY/112 11.01. ТР017 122.01 08246, до 19.04.2028</t>
        </is>
      </c>
      <c r="N591" t="inlineStr">
        <is>
          <t xml:space="preserve">39 × 30 × 5</t>
        </is>
      </c>
      <c r="O591" t="inlineStr">
        <is>
          <t xml:space="preserve">0,69</t>
        </is>
      </c>
      <c r="P591" t="inlineStr">
        <is>
          <t xml:space="preserve">4816148179791</t>
        </is>
      </c>
      <c r="Q591" s="3" t="str">
        <f>HYPERLINK("https://modify.by/img/824747835/1.webp","фото")</f>
        <v>фото</v>
      </c>
      <c r="R591" s="3" t="str">
        <f>HYPERLINK("https://modify.by/catalog/tolstovki/824747835/?utm_source=price&amp;utm_medium=xlsx","открыть")</f>
        <v>открыть</v>
      </c>
    </row>
    <row r="592">
      <c r="A592" t="inlineStr">
        <is>
          <t xml:space="preserve">Мужской</t>
        </is>
      </c>
      <c r="B592" t="inlineStr">
        <is>
          <t xml:space="preserve">Толстовки</t>
        </is>
      </c>
      <c r="C592" t="inlineStr">
        <is>
          <t xml:space="preserve">Толстовка олимпийка на молнии хлопок, черный</t>
        </is>
      </c>
      <c r="D592" t="inlineStr">
        <is>
          <t xml:space="preserve">HO62M01черный</t>
        </is>
      </c>
      <c r="E592" t="inlineStr">
        <is>
          <t xml:space="preserve">черный</t>
        </is>
      </c>
      <c r="F592" t="inlineStr">
        <is>
          <t xml:space="preserve">52-54</t>
        </is>
      </c>
      <c r="G592">
        <v>12</v>
      </c>
      <c r="H592" s="2">
        <v>44.0</v>
      </c>
      <c r="I592" t="inlineStr">
        <is>
          <t xml:space="preserve">80% хлопок, 20% полиэфирные волокна</t>
        </is>
      </c>
      <c r="J592"/>
      <c r="K592" t="inlineStr">
        <is>
          <t xml:space="preserve">Бангладеш</t>
        </is>
      </c>
      <c r="L592" t="inlineStr">
        <is>
          <t xml:space="preserve">6110209100</t>
        </is>
      </c>
      <c r="M592" t="inlineStr">
        <is>
          <t xml:space="preserve">Декларация № ЕАЭС № BY/112 11.01. ТР017 122.01 08246, до 19.04.2028</t>
        </is>
      </c>
      <c r="N592" t="inlineStr">
        <is>
          <t xml:space="preserve">39 × 30 × 5</t>
        </is>
      </c>
      <c r="O592" t="inlineStr">
        <is>
          <t xml:space="preserve">0,69</t>
        </is>
      </c>
      <c r="P592" t="inlineStr">
        <is>
          <t xml:space="preserve">4816148179807</t>
        </is>
      </c>
      <c r="Q592" s="3" t="str">
        <f>HYPERLINK("https://modify.by/img/824747835/1.webp","фото")</f>
        <v>фото</v>
      </c>
      <c r="R592" s="3" t="str">
        <f>HYPERLINK("https://modify.by/catalog/tolstovki/824747835/?utm_source=price&amp;utm_medium=xlsx","открыть")</f>
        <v>открыть</v>
      </c>
    </row>
    <row r="593">
      <c r="A593" t="inlineStr">
        <is>
          <t xml:space="preserve">Мужской</t>
        </is>
      </c>
      <c r="B593" t="inlineStr">
        <is>
          <t xml:space="preserve">Худи</t>
        </is>
      </c>
      <c r="C593" t="inlineStr">
        <is>
          <t xml:space="preserve">Байка оверсайз теплая с капюшоном</t>
        </is>
      </c>
      <c r="D593" t="inlineStr">
        <is>
          <t xml:space="preserve">HO52M01синий,белый,серый</t>
        </is>
      </c>
      <c r="E593" t="inlineStr">
        <is>
          <t xml:space="preserve">темно-синий, белый, серый меланж</t>
        </is>
      </c>
      <c r="F593" t="inlineStr">
        <is>
          <t xml:space="preserve">46</t>
        </is>
      </c>
      <c r="G593">
        <v>5</v>
      </c>
      <c r="H593" s="2">
        <v>54.0</v>
      </c>
      <c r="I593" t="inlineStr">
        <is>
          <t xml:space="preserve">байка, футр, 60% хлопок, 40% полиэстер</t>
        </is>
      </c>
      <c r="J593"/>
      <c r="K593" t="inlineStr">
        <is>
          <t xml:space="preserve">Бангладеш</t>
        </is>
      </c>
      <c r="L593" t="inlineStr">
        <is>
          <t xml:space="preserve">6110209100</t>
        </is>
      </c>
      <c r="M593" t="inlineStr">
        <is>
          <t xml:space="preserve">Декларация № ЕАЭС № BY/112 11.01. ТР017 122.01 08246, до 19.04.2028</t>
        </is>
      </c>
      <c r="N593" t="inlineStr">
        <is>
          <t xml:space="preserve">36 × 28 × 5</t>
        </is>
      </c>
      <c r="O593" t="inlineStr">
        <is>
          <t xml:space="preserve">0,56</t>
        </is>
      </c>
      <c r="P593" t="inlineStr">
        <is>
          <t xml:space="preserve">4816148164469</t>
        </is>
      </c>
      <c r="Q593" s="3" t="str">
        <f>HYPERLINK("https://modify.by/img/553168708/1.webp","фото")</f>
        <v>фото</v>
      </c>
      <c r="R593" s="3" t="str">
        <f>HYPERLINK("https://modify.by/catalog/hudi/553168708/?utm_source=price&amp;utm_medium=xlsx","открыть")</f>
        <v>открыть</v>
      </c>
    </row>
    <row r="594">
      <c r="A594" t="inlineStr">
        <is>
          <t xml:space="preserve">Мужской</t>
        </is>
      </c>
      <c r="B594" t="inlineStr">
        <is>
          <t xml:space="preserve">Худи</t>
        </is>
      </c>
      <c r="C594" t="inlineStr">
        <is>
          <t xml:space="preserve">Байка оверсайз теплая с капюшоном</t>
        </is>
      </c>
      <c r="D594" t="inlineStr">
        <is>
          <t xml:space="preserve">HO52M01синий,белый,серый</t>
        </is>
      </c>
      <c r="E594" t="inlineStr">
        <is>
          <t xml:space="preserve">темно-синий, белый, серый меланж</t>
        </is>
      </c>
      <c r="F594" t="inlineStr">
        <is>
          <t xml:space="preserve">48</t>
        </is>
      </c>
      <c r="G594">
        <v>4</v>
      </c>
      <c r="H594" s="2">
        <v>54.0</v>
      </c>
      <c r="I594" t="inlineStr">
        <is>
          <t xml:space="preserve">байка, футр, 60% хлопок, 40% полиэстер</t>
        </is>
      </c>
      <c r="J594"/>
      <c r="K594" t="inlineStr">
        <is>
          <t xml:space="preserve">Бангладеш</t>
        </is>
      </c>
      <c r="L594" t="inlineStr">
        <is>
          <t xml:space="preserve">6110209100</t>
        </is>
      </c>
      <c r="M594" t="inlineStr">
        <is>
          <t xml:space="preserve">Декларация № ЕАЭС № BY/112 11.01. ТР017 122.01 08246, до 19.04.2028</t>
        </is>
      </c>
      <c r="N594" t="inlineStr">
        <is>
          <t xml:space="preserve">36 × 28 × 5</t>
        </is>
      </c>
      <c r="O594" t="inlineStr">
        <is>
          <t xml:space="preserve">0,56</t>
        </is>
      </c>
      <c r="P594" t="inlineStr">
        <is>
          <t xml:space="preserve">4816148164476</t>
        </is>
      </c>
      <c r="Q594" s="3" t="str">
        <f>HYPERLINK("https://modify.by/img/553168708/1.webp","фото")</f>
        <v>фото</v>
      </c>
      <c r="R594" s="3" t="str">
        <f>HYPERLINK("https://modify.by/catalog/hudi/553168708/?utm_source=price&amp;utm_medium=xlsx","открыть")</f>
        <v>открыть</v>
      </c>
    </row>
    <row r="595">
      <c r="A595" t="inlineStr">
        <is>
          <t xml:space="preserve">Мужской</t>
        </is>
      </c>
      <c r="B595" t="inlineStr">
        <is>
          <t xml:space="preserve">Худи</t>
        </is>
      </c>
      <c r="C595" t="inlineStr">
        <is>
          <t xml:space="preserve">Байка оверсайз теплая с капюшоном</t>
        </is>
      </c>
      <c r="D595" t="inlineStr">
        <is>
          <t xml:space="preserve">HO52M01синий,белый,серый</t>
        </is>
      </c>
      <c r="E595" t="inlineStr">
        <is>
          <t xml:space="preserve">темно-синий, белый, серый меланж</t>
        </is>
      </c>
      <c r="F595" t="inlineStr">
        <is>
          <t xml:space="preserve">52</t>
        </is>
      </c>
      <c r="G595">
        <v>17</v>
      </c>
      <c r="H595" s="2">
        <v>54.0</v>
      </c>
      <c r="I595" t="inlineStr">
        <is>
          <t xml:space="preserve">байка, футр, 60% хлопок, 40% полиэстер</t>
        </is>
      </c>
      <c r="J595"/>
      <c r="K595" t="inlineStr">
        <is>
          <t xml:space="preserve">Бангладеш</t>
        </is>
      </c>
      <c r="L595" t="inlineStr">
        <is>
          <t xml:space="preserve">6110209100</t>
        </is>
      </c>
      <c r="M595" t="inlineStr">
        <is>
          <t xml:space="preserve">Декларация № ЕАЭС № BY/112 11.01. ТР017 122.01 08246, до 19.04.2028</t>
        </is>
      </c>
      <c r="N595" t="inlineStr">
        <is>
          <t xml:space="preserve">36 × 28 × 5</t>
        </is>
      </c>
      <c r="O595" t="inlineStr">
        <is>
          <t xml:space="preserve">0,56</t>
        </is>
      </c>
      <c r="P595" t="inlineStr">
        <is>
          <t xml:space="preserve">4816148164490</t>
        </is>
      </c>
      <c r="Q595" s="3" t="str">
        <f>HYPERLINK("https://modify.by/img/553168708/1.webp","фото")</f>
        <v>фото</v>
      </c>
      <c r="R595" s="3" t="str">
        <f>HYPERLINK("https://modify.by/catalog/hudi/553168708/?utm_source=price&amp;utm_medium=xlsx","открыть")</f>
        <v>открыть</v>
      </c>
    </row>
    <row r="596">
      <c r="A596" t="inlineStr">
        <is>
          <t xml:space="preserve">Мужской</t>
        </is>
      </c>
      <c r="B596" t="inlineStr">
        <is>
          <t xml:space="preserve">Худи</t>
        </is>
      </c>
      <c r="C596" t="inlineStr">
        <is>
          <t xml:space="preserve">Джемпер хлопковый с воротником-стойкой и шнурками, серый</t>
        </is>
      </c>
      <c r="D596" t="inlineStr">
        <is>
          <t xml:space="preserve">HO62M02серый</t>
        </is>
      </c>
      <c r="E596" t="inlineStr">
        <is>
          <t xml:space="preserve">серый, серый меланж</t>
        </is>
      </c>
      <c r="F596" t="inlineStr">
        <is>
          <t xml:space="preserve">44</t>
        </is>
      </c>
      <c r="G596">
        <v>2</v>
      </c>
      <c r="H596" s="2">
        <v>30.0</v>
      </c>
      <c r="I596" t="inlineStr">
        <is>
          <t xml:space="preserve">хлопок 100%</t>
        </is>
      </c>
      <c r="J596"/>
      <c r="K596" t="inlineStr">
        <is>
          <t xml:space="preserve">Бангладеш</t>
        </is>
      </c>
      <c r="L596" t="inlineStr">
        <is>
          <t xml:space="preserve">6110209100</t>
        </is>
      </c>
      <c r="M596" t="inlineStr">
        <is>
          <t xml:space="preserve">Декларация № ЕАЭС № BY/112 11.01. ТР017 122.01 08246, до 19.04.2028</t>
        </is>
      </c>
      <c r="N596" t="inlineStr">
        <is>
          <t xml:space="preserve">37 × 30 × 3</t>
        </is>
      </c>
      <c r="O596" t="inlineStr">
        <is>
          <t xml:space="preserve">0,36</t>
        </is>
      </c>
      <c r="P596" t="inlineStr">
        <is>
          <t xml:space="preserve">4816148173799</t>
        </is>
      </c>
      <c r="Q596" s="3" t="str">
        <f>HYPERLINK("https://modify.by/img/693145672/1.webp","фото")</f>
        <v>фото</v>
      </c>
      <c r="R596" s="3" t="str">
        <f>HYPERLINK("https://modify.by/catalog/hudi/693145672/?utm_source=price&amp;utm_medium=xlsx","открыть")</f>
        <v>открыть</v>
      </c>
    </row>
    <row r="597">
      <c r="A597" t="inlineStr">
        <is>
          <t xml:space="preserve">Мужской</t>
        </is>
      </c>
      <c r="B597" t="inlineStr">
        <is>
          <t xml:space="preserve">Худи</t>
        </is>
      </c>
      <c r="C597" t="inlineStr">
        <is>
          <t xml:space="preserve">Джемпер хлопковый с воротником-стойкой и шнурками, серый</t>
        </is>
      </c>
      <c r="D597" t="inlineStr">
        <is>
          <t xml:space="preserve">HO62M02серый</t>
        </is>
      </c>
      <c r="E597" t="inlineStr">
        <is>
          <t xml:space="preserve">серый, серый меланж</t>
        </is>
      </c>
      <c r="F597" t="inlineStr">
        <is>
          <t xml:space="preserve">46</t>
        </is>
      </c>
      <c r="G597">
        <v>47</v>
      </c>
      <c r="H597" s="2">
        <v>30.0</v>
      </c>
      <c r="I597" t="inlineStr">
        <is>
          <t xml:space="preserve">хлопок 100%</t>
        </is>
      </c>
      <c r="J597"/>
      <c r="K597" t="inlineStr">
        <is>
          <t xml:space="preserve">Бангладеш</t>
        </is>
      </c>
      <c r="L597" t="inlineStr">
        <is>
          <t xml:space="preserve">6110209100</t>
        </is>
      </c>
      <c r="M597" t="inlineStr">
        <is>
          <t xml:space="preserve">Декларация № ЕАЭС № BY/112 11.01. ТР017 122.01 08246, до 19.04.2028</t>
        </is>
      </c>
      <c r="N597" t="inlineStr">
        <is>
          <t xml:space="preserve">37 × 30 × 3</t>
        </is>
      </c>
      <c r="O597" t="inlineStr">
        <is>
          <t xml:space="preserve">0,36</t>
        </is>
      </c>
      <c r="P597" t="inlineStr">
        <is>
          <t xml:space="preserve">4816148173805</t>
        </is>
      </c>
      <c r="Q597" s="3" t="str">
        <f>HYPERLINK("https://modify.by/img/693145672/1.webp","фото")</f>
        <v>фото</v>
      </c>
      <c r="R597" s="3" t="str">
        <f>HYPERLINK("https://modify.by/catalog/hudi/693145672/?utm_source=price&amp;utm_medium=xlsx","открыть")</f>
        <v>открыть</v>
      </c>
    </row>
    <row r="598">
      <c r="A598" t="inlineStr">
        <is>
          <t xml:space="preserve">Мужской</t>
        </is>
      </c>
      <c r="B598" t="inlineStr">
        <is>
          <t xml:space="preserve">Худи</t>
        </is>
      </c>
      <c r="C598" t="inlineStr">
        <is>
          <t xml:space="preserve">Джемпер хлопковый с воротником-стойкой и шнурками, серый</t>
        </is>
      </c>
      <c r="D598" t="inlineStr">
        <is>
          <t xml:space="preserve">HO62M02серый</t>
        </is>
      </c>
      <c r="E598" t="inlineStr">
        <is>
          <t xml:space="preserve">серый, серый меланж</t>
        </is>
      </c>
      <c r="F598" t="inlineStr">
        <is>
          <t xml:space="preserve">48</t>
        </is>
      </c>
      <c r="G598">
        <v>27</v>
      </c>
      <c r="H598" s="2">
        <v>30.0</v>
      </c>
      <c r="I598" t="inlineStr">
        <is>
          <t xml:space="preserve">хлопок 100%</t>
        </is>
      </c>
      <c r="J598"/>
      <c r="K598" t="inlineStr">
        <is>
          <t xml:space="preserve">Бангладеш</t>
        </is>
      </c>
      <c r="L598" t="inlineStr">
        <is>
          <t xml:space="preserve">6110209100</t>
        </is>
      </c>
      <c r="M598" t="inlineStr">
        <is>
          <t xml:space="preserve">Декларация № ЕАЭС № BY/112 11.01. ТР017 122.01 08246, до 19.04.2028</t>
        </is>
      </c>
      <c r="N598" t="inlineStr">
        <is>
          <t xml:space="preserve">37 × 30 × 3</t>
        </is>
      </c>
      <c r="O598" t="inlineStr">
        <is>
          <t xml:space="preserve">0,36</t>
        </is>
      </c>
      <c r="P598" t="inlineStr">
        <is>
          <t xml:space="preserve">4816148173812</t>
        </is>
      </c>
      <c r="Q598" s="3" t="str">
        <f>HYPERLINK("https://modify.by/img/693145672/1.webp","фото")</f>
        <v>фото</v>
      </c>
      <c r="R598" s="3" t="str">
        <f>HYPERLINK("https://modify.by/catalog/hudi/693145672/?utm_source=price&amp;utm_medium=xlsx","открыть")</f>
        <v>открыть</v>
      </c>
    </row>
    <row r="599">
      <c r="A599" t="inlineStr">
        <is>
          <t xml:space="preserve">Мужской</t>
        </is>
      </c>
      <c r="B599" t="inlineStr">
        <is>
          <t xml:space="preserve">Худи</t>
        </is>
      </c>
      <c r="C599" t="inlineStr">
        <is>
          <t xml:space="preserve">Джемпер хлопковый с воротником-стойкой и шнурками, серый</t>
        </is>
      </c>
      <c r="D599" t="inlineStr">
        <is>
          <t xml:space="preserve">HO62M02серый</t>
        </is>
      </c>
      <c r="E599" t="inlineStr">
        <is>
          <t xml:space="preserve">серый, серый меланж</t>
        </is>
      </c>
      <c r="F599" t="inlineStr">
        <is>
          <t xml:space="preserve">50</t>
        </is>
      </c>
      <c r="G599">
        <v>5</v>
      </c>
      <c r="H599" s="2">
        <v>30.0</v>
      </c>
      <c r="I599" t="inlineStr">
        <is>
          <t xml:space="preserve">хлопок 100%</t>
        </is>
      </c>
      <c r="J599"/>
      <c r="K599" t="inlineStr">
        <is>
          <t xml:space="preserve">Бангладеш</t>
        </is>
      </c>
      <c r="L599" t="inlineStr">
        <is>
          <t xml:space="preserve">6110209100</t>
        </is>
      </c>
      <c r="M599" t="inlineStr">
        <is>
          <t xml:space="preserve">Декларация № ЕАЭС № BY/112 11.01. ТР017 122.01 08246, до 19.04.2028</t>
        </is>
      </c>
      <c r="N599" t="inlineStr">
        <is>
          <t xml:space="preserve">37 × 30 × 3</t>
        </is>
      </c>
      <c r="O599" t="inlineStr">
        <is>
          <t xml:space="preserve">0,36</t>
        </is>
      </c>
      <c r="P599" t="inlineStr">
        <is>
          <t xml:space="preserve">4816148173829</t>
        </is>
      </c>
      <c r="Q599" s="3" t="str">
        <f>HYPERLINK("https://modify.by/img/693145672/1.webp","фото")</f>
        <v>фото</v>
      </c>
      <c r="R599" s="3" t="str">
        <f>HYPERLINK("https://modify.by/catalog/hudi/693145672/?utm_source=price&amp;utm_medium=xlsx","открыть")</f>
        <v>открыть</v>
      </c>
    </row>
    <row r="600">
      <c r="A600" t="inlineStr">
        <is>
          <t xml:space="preserve">Мужской</t>
        </is>
      </c>
      <c r="B600" t="inlineStr">
        <is>
          <t xml:space="preserve">Худи</t>
        </is>
      </c>
      <c r="C600" t="inlineStr">
        <is>
          <t xml:space="preserve">Джемпер хлопковый с воротником-стойкой и шнурками, темно-синий</t>
        </is>
      </c>
      <c r="D600" t="inlineStr">
        <is>
          <t xml:space="preserve">HO62M02темно-синий</t>
        </is>
      </c>
      <c r="E600" t="inlineStr">
        <is>
          <t xml:space="preserve">темно-синий</t>
        </is>
      </c>
      <c r="F600" t="inlineStr">
        <is>
          <t xml:space="preserve">46</t>
        </is>
      </c>
      <c r="G600">
        <v>28</v>
      </c>
      <c r="H600" s="2">
        <v>30.0</v>
      </c>
      <c r="I600" t="inlineStr">
        <is>
          <t xml:space="preserve">хлопок 100%</t>
        </is>
      </c>
      <c r="J600"/>
      <c r="K600" t="inlineStr">
        <is>
          <t xml:space="preserve">Бангладеш</t>
        </is>
      </c>
      <c r="L600" t="inlineStr">
        <is>
          <t xml:space="preserve">6110209100</t>
        </is>
      </c>
      <c r="M600" t="inlineStr">
        <is>
          <t xml:space="preserve">Декларация № ЕАЭС № BY/112 11.01. ТР017 122.01 08246, до 19.04.2028</t>
        </is>
      </c>
      <c r="N600" t="inlineStr">
        <is>
          <t xml:space="preserve">37 × 30 × 3</t>
        </is>
      </c>
      <c r="O600" t="inlineStr">
        <is>
          <t xml:space="preserve">0,36</t>
        </is>
      </c>
      <c r="P600" t="inlineStr">
        <is>
          <t xml:space="preserve">4816148173751</t>
        </is>
      </c>
      <c r="Q600" s="3" t="str">
        <f>HYPERLINK("https://modify.by/img/693145671/1.webp","фото")</f>
        <v>фото</v>
      </c>
      <c r="R600" s="3" t="str">
        <f>HYPERLINK("https://modify.by/catalog/hudi/693145671/?utm_source=price&amp;utm_medium=xlsx","открыть")</f>
        <v>открыть</v>
      </c>
    </row>
    <row r="601">
      <c r="A601" t="inlineStr">
        <is>
          <t xml:space="preserve">Мужской</t>
        </is>
      </c>
      <c r="B601" t="inlineStr">
        <is>
          <t xml:space="preserve">Худи</t>
        </is>
      </c>
      <c r="C601" t="inlineStr">
        <is>
          <t xml:space="preserve">Джемпер хлопковый с воротником-стойкой и шнурками, темно-синий</t>
        </is>
      </c>
      <c r="D601" t="inlineStr">
        <is>
          <t xml:space="preserve">HO62M02темно-синий</t>
        </is>
      </c>
      <c r="E601" t="inlineStr">
        <is>
          <t xml:space="preserve">темно-синий</t>
        </is>
      </c>
      <c r="F601" t="inlineStr">
        <is>
          <t xml:space="preserve">48</t>
        </is>
      </c>
      <c r="G601">
        <v>20</v>
      </c>
      <c r="H601" s="2">
        <v>30.0</v>
      </c>
      <c r="I601" t="inlineStr">
        <is>
          <t xml:space="preserve">хлопок 100%</t>
        </is>
      </c>
      <c r="J601"/>
      <c r="K601" t="inlineStr">
        <is>
          <t xml:space="preserve">Бангладеш</t>
        </is>
      </c>
      <c r="L601" t="inlineStr">
        <is>
          <t xml:space="preserve">6110209100</t>
        </is>
      </c>
      <c r="M601" t="inlineStr">
        <is>
          <t xml:space="preserve">Декларация № ЕАЭС № BY/112 11.01. ТР017 122.01 08246, до 19.04.2028</t>
        </is>
      </c>
      <c r="N601" t="inlineStr">
        <is>
          <t xml:space="preserve">37 × 30 × 3</t>
        </is>
      </c>
      <c r="O601" t="inlineStr">
        <is>
          <t xml:space="preserve">0,36</t>
        </is>
      </c>
      <c r="P601" t="inlineStr">
        <is>
          <t xml:space="preserve">4816148173768</t>
        </is>
      </c>
      <c r="Q601" s="3" t="str">
        <f>HYPERLINK("https://modify.by/img/693145671/1.webp","фото")</f>
        <v>фото</v>
      </c>
      <c r="R601" s="3" t="str">
        <f>HYPERLINK("https://modify.by/catalog/hudi/693145671/?utm_source=price&amp;utm_medium=xlsx","открыть")</f>
        <v>открыть</v>
      </c>
    </row>
    <row r="602">
      <c r="A602" t="inlineStr">
        <is>
          <t xml:space="preserve">Мужской</t>
        </is>
      </c>
      <c r="B602" t="inlineStr">
        <is>
          <t xml:space="preserve">Худи</t>
        </is>
      </c>
      <c r="C602" t="inlineStr">
        <is>
          <t xml:space="preserve">Джемпер хлопковый с воротником-стойкой и шнурками, темно-синий</t>
        </is>
      </c>
      <c r="D602" t="inlineStr">
        <is>
          <t xml:space="preserve">HO62M02темно-синий</t>
        </is>
      </c>
      <c r="E602" t="inlineStr">
        <is>
          <t xml:space="preserve">темно-синий</t>
        </is>
      </c>
      <c r="F602" t="inlineStr">
        <is>
          <t xml:space="preserve">50</t>
        </is>
      </c>
      <c r="G602">
        <v>3</v>
      </c>
      <c r="H602" s="2">
        <v>30.0</v>
      </c>
      <c r="I602" t="inlineStr">
        <is>
          <t xml:space="preserve">хлопок 100%</t>
        </is>
      </c>
      <c r="J602"/>
      <c r="K602" t="inlineStr">
        <is>
          <t xml:space="preserve">Бангладеш</t>
        </is>
      </c>
      <c r="L602" t="inlineStr">
        <is>
          <t xml:space="preserve">6110209100</t>
        </is>
      </c>
      <c r="M602" t="inlineStr">
        <is>
          <t xml:space="preserve">Декларация № ЕАЭС № BY/112 11.01. ТР017 122.01 08246, до 19.04.2028</t>
        </is>
      </c>
      <c r="N602" t="inlineStr">
        <is>
          <t xml:space="preserve">37 × 30 × 3</t>
        </is>
      </c>
      <c r="O602" t="inlineStr">
        <is>
          <t xml:space="preserve">0,36</t>
        </is>
      </c>
      <c r="P602" t="inlineStr">
        <is>
          <t xml:space="preserve">4816148173775</t>
        </is>
      </c>
      <c r="Q602" s="3" t="str">
        <f>HYPERLINK("https://modify.by/img/693145671/1.webp","фото")</f>
        <v>фото</v>
      </c>
      <c r="R602" s="3" t="str">
        <f>HYPERLINK("https://modify.by/catalog/hudi/693145671/?utm_source=price&amp;utm_medium=xlsx","открыть")</f>
        <v>открыть</v>
      </c>
    </row>
    <row r="603">
      <c r="A603" t="inlineStr">
        <is>
          <t xml:space="preserve">Мужской</t>
        </is>
      </c>
      <c r="B603" t="inlineStr">
        <is>
          <t xml:space="preserve">Худи</t>
        </is>
      </c>
      <c r="C603" t="inlineStr">
        <is>
          <t xml:space="preserve">Худи с капюшоном и карманом</t>
        </is>
      </c>
      <c r="D603" t="inlineStr">
        <is>
          <t xml:space="preserve">HO32M03Бежевый</t>
        </is>
      </c>
      <c r="E603" t="inlineStr">
        <is>
          <t xml:space="preserve">бежевый</t>
        </is>
      </c>
      <c r="F603" t="inlineStr">
        <is>
          <t xml:space="preserve">46/170</t>
        </is>
      </c>
      <c r="G603">
        <v>1</v>
      </c>
      <c r="H603" s="2">
        <v>36.0</v>
      </c>
      <c r="I603" t="inlineStr">
        <is>
          <t xml:space="preserve">полиэстер 50% акрил 20% полиамид 19% шерсть 5%</t>
        </is>
      </c>
      <c r="J603"/>
      <c r="K603" t="inlineStr">
        <is>
          <t xml:space="preserve">Бангладеш</t>
        </is>
      </c>
      <c r="L603" t="inlineStr">
        <is>
          <t xml:space="preserve">6110309100</t>
        </is>
      </c>
      <c r="M603" t="inlineStr">
        <is>
          <t xml:space="preserve">Декларация № ЕАЭС № BY/112 11.01. ТР017 122.01 08246, до 19.04.2028</t>
        </is>
      </c>
      <c r="N603"/>
      <c r="O603"/>
      <c r="P603" t="inlineStr">
        <is>
          <t xml:space="preserve">2026620752288</t>
        </is>
      </c>
      <c r="Q603" s="3" t="str">
        <f>HYPERLINK("https://modify.by/img/171131766/1.webp","фото")</f>
        <v>фото</v>
      </c>
      <c r="R603" s="3" t="str">
        <f>HYPERLINK("https://modify.by/catalog/hudi/171131766/?utm_source=price&amp;utm_medium=xlsx","открыть")</f>
        <v>открыть</v>
      </c>
    </row>
    <row r="604">
      <c r="A604" t="inlineStr">
        <is>
          <t xml:space="preserve">Мужской</t>
        </is>
      </c>
      <c r="B604" t="inlineStr">
        <is>
          <t xml:space="preserve">Худи</t>
        </is>
      </c>
      <c r="C604" t="inlineStr">
        <is>
          <t xml:space="preserve">Худи с капюшоном и карманом хлопок без начеса</t>
        </is>
      </c>
      <c r="D604" t="inlineStr">
        <is>
          <t xml:space="preserve">HO32M03Коричневый</t>
        </is>
      </c>
      <c r="E604" t="inlineStr">
        <is>
          <t xml:space="preserve">коричневый</t>
        </is>
      </c>
      <c r="F604" t="inlineStr">
        <is>
          <t xml:space="preserve">46/170</t>
        </is>
      </c>
      <c r="G604">
        <v>1</v>
      </c>
      <c r="H604" s="2">
        <v>36.0</v>
      </c>
      <c r="I604" t="inlineStr">
        <is>
          <t xml:space="preserve">полиэстер 50% акрил 20% полиамид 19% шерсть 5%</t>
        </is>
      </c>
      <c r="J604"/>
      <c r="K604" t="inlineStr">
        <is>
          <t xml:space="preserve">Бангладеш</t>
        </is>
      </c>
      <c r="L604" t="inlineStr">
        <is>
          <t xml:space="preserve">6110309100</t>
        </is>
      </c>
      <c r="M604" t="inlineStr">
        <is>
          <t xml:space="preserve">Декларация № ЕАЭС № BY/112 11.01. ТР017 122.01 08246, до 19.04.2028</t>
        </is>
      </c>
      <c r="N604"/>
      <c r="O604"/>
      <c r="P604" t="inlineStr">
        <is>
          <t xml:space="preserve">2026620752103</t>
        </is>
      </c>
      <c r="Q604" s="3" t="str">
        <f>HYPERLINK("https://modify.by/img/171131783/1.webp","фото")</f>
        <v>фото</v>
      </c>
      <c r="R604" s="3" t="str">
        <f>HYPERLINK("https://modify.by/catalog/hudi/171131783/?utm_source=price&amp;utm_medium=xlsx","открыть")</f>
        <v>открыть</v>
      </c>
    </row>
    <row r="605">
      <c r="A605" t="inlineStr">
        <is>
          <t xml:space="preserve">Мужской</t>
        </is>
      </c>
      <c r="B605" t="inlineStr">
        <is>
          <t xml:space="preserve">Худи</t>
        </is>
      </c>
      <c r="C605" t="inlineStr">
        <is>
          <t xml:space="preserve">Худи с капюшоном карман-кенгуру</t>
        </is>
      </c>
      <c r="D605" t="inlineStr">
        <is>
          <t xml:space="preserve">HO32M029светло-сиреневый</t>
        </is>
      </c>
      <c r="E605" t="inlineStr">
        <is>
          <t xml:space="preserve">светло-сиреневый</t>
        </is>
      </c>
      <c r="F605" t="inlineStr">
        <is>
          <t xml:space="preserve">48</t>
        </is>
      </c>
      <c r="G605">
        <v>1</v>
      </c>
      <c r="H605" s="2">
        <v>38.0</v>
      </c>
      <c r="I605" t="inlineStr">
        <is>
          <t xml:space="preserve">хлопок 100%</t>
        </is>
      </c>
      <c r="J605"/>
      <c r="K605" t="inlineStr">
        <is>
          <t xml:space="preserve">Бангладеш</t>
        </is>
      </c>
      <c r="L605" t="inlineStr">
        <is>
          <t xml:space="preserve">6110209100</t>
        </is>
      </c>
      <c r="M605" t="inlineStr">
        <is>
          <t xml:space="preserve">Декларация № ЕАЭС № BY/112 11.01. ТР017 122.01 08246, до 19.04.2028</t>
        </is>
      </c>
      <c r="N605" t="inlineStr">
        <is>
          <t xml:space="preserve">27 × 30 × 3</t>
        </is>
      </c>
      <c r="O605" t="inlineStr">
        <is>
          <t xml:space="preserve">0,44</t>
        </is>
      </c>
      <c r="P605" t="inlineStr">
        <is>
          <t xml:space="preserve">2038096190761</t>
        </is>
      </c>
      <c r="Q605" s="3" t="str">
        <f>HYPERLINK("https://modify.by/img/195903077/1.webp","фото")</f>
        <v>фото</v>
      </c>
      <c r="R605" s="3" t="str">
        <f>HYPERLINK("https://modify.by/catalog/hudi/195903077/?utm_source=price&amp;utm_medium=xlsx","открыть")</f>
        <v>открыть</v>
      </c>
    </row>
    <row r="606">
      <c r="A606" t="inlineStr">
        <is>
          <t xml:space="preserve">Мужской</t>
        </is>
      </c>
      <c r="B606" t="inlineStr">
        <is>
          <t xml:space="preserve">Худи</t>
        </is>
      </c>
      <c r="C606" t="inlineStr">
        <is>
          <t xml:space="preserve">Худи с капюшоном карман-кенгуру</t>
        </is>
      </c>
      <c r="D606" t="inlineStr">
        <is>
          <t xml:space="preserve">HO32M029светло-сиреневый</t>
        </is>
      </c>
      <c r="E606" t="inlineStr">
        <is>
          <t xml:space="preserve">светло-сиреневый</t>
        </is>
      </c>
      <c r="F606" t="inlineStr">
        <is>
          <t xml:space="preserve">48</t>
        </is>
      </c>
      <c r="G606">
        <v>1</v>
      </c>
      <c r="H606" s="2">
        <v>38.0</v>
      </c>
      <c r="I606" t="inlineStr">
        <is>
          <t xml:space="preserve">хлопок 100%</t>
        </is>
      </c>
      <c r="J606"/>
      <c r="K606" t="inlineStr">
        <is>
          <t xml:space="preserve">Бангладеш</t>
        </is>
      </c>
      <c r="L606" t="inlineStr">
        <is>
          <t xml:space="preserve">6110209100</t>
        </is>
      </c>
      <c r="M606" t="inlineStr">
        <is>
          <t xml:space="preserve">Декларация № ЕАЭС № BY/112 11.01. ТР017 122.01 08246, до 19.04.2028</t>
        </is>
      </c>
      <c r="N606" t="inlineStr">
        <is>
          <t xml:space="preserve">27 × 30 × 3</t>
        </is>
      </c>
      <c r="O606" t="inlineStr">
        <is>
          <t xml:space="preserve">0,44</t>
        </is>
      </c>
      <c r="P606" t="inlineStr">
        <is>
          <t xml:space="preserve">4816148127327</t>
        </is>
      </c>
      <c r="Q606" s="3" t="str">
        <f>HYPERLINK("https://modify.by/img/195903077/1.webp","фото")</f>
        <v>фото</v>
      </c>
      <c r="R606" s="3" t="str">
        <f>HYPERLINK("https://modify.by/catalog/hudi/195903077/?utm_source=price&amp;utm_medium=xlsx","открыть")</f>
        <v>открыть</v>
      </c>
    </row>
    <row r="607">
      <c r="A607" t="inlineStr">
        <is>
          <t xml:space="preserve">Мужской</t>
        </is>
      </c>
      <c r="B607" t="inlineStr">
        <is>
          <t xml:space="preserve">Худи</t>
        </is>
      </c>
      <c r="C607" t="inlineStr">
        <is>
          <t xml:space="preserve">Худи с капюшоном хлопок без начеса</t>
        </is>
      </c>
      <c r="D607" t="inlineStr">
        <is>
          <t xml:space="preserve">HO32M02Сиреневый</t>
        </is>
      </c>
      <c r="E607" t="inlineStr">
        <is>
          <t xml:space="preserve">сиреневый</t>
        </is>
      </c>
      <c r="F607" t="inlineStr">
        <is>
          <t xml:space="preserve">48</t>
        </is>
      </c>
      <c r="G607">
        <v>28</v>
      </c>
      <c r="H607" s="2">
        <v>38.0</v>
      </c>
      <c r="I607" t="inlineStr">
        <is>
          <t xml:space="preserve">хлопок 100%</t>
        </is>
      </c>
      <c r="J607"/>
      <c r="K607" t="inlineStr">
        <is>
          <t xml:space="preserve">Бангладеш</t>
        </is>
      </c>
      <c r="L607" t="inlineStr">
        <is>
          <t xml:space="preserve">6110209100</t>
        </is>
      </c>
      <c r="M607" t="inlineStr">
        <is>
          <t xml:space="preserve">Декларация № ЕАЭС № BY/112 11.01. ТР017 122.01 08246, до 19.04.2028</t>
        </is>
      </c>
      <c r="N607" t="inlineStr">
        <is>
          <t xml:space="preserve">25 × 31 × 3</t>
        </is>
      </c>
      <c r="O607" t="inlineStr">
        <is>
          <t xml:space="preserve">0,4</t>
        </is>
      </c>
      <c r="P607" t="inlineStr">
        <is>
          <t xml:space="preserve">2026620745822</t>
        </is>
      </c>
      <c r="Q607" s="3" t="str">
        <f>HYPERLINK("https://modify.by/img/171150049/1.webp","фото")</f>
        <v>фото</v>
      </c>
      <c r="R607" s="3" t="str">
        <f>HYPERLINK("https://modify.by/catalog/hudi/171150049/?utm_source=price&amp;utm_medium=xlsx","открыть")</f>
        <v>открыть</v>
      </c>
    </row>
  </sheetData>
  <autoFilter ref="A1:R607"/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22" customWidth="1"/>
    <col min="2" max="2" width="100" customWidth="1"/>
  </cols>
  <sheetData>
    <row r="1">
      <c r="A1" s="1" t="inlineStr">
        <is>
          <t xml:space="preserve">Условия работы</t>
        </is>
      </c>
      <c r="B1" s="1"/>
    </row>
    <row r="2">
      <c r="A2" t="inlineStr">
        <is>
          <t xml:space="preserve">Поставщик</t>
        </is>
      </c>
      <c r="B2" s="4" t="inlineStr">
        <is>
          <t xml:space="preserve">ООО «Модифай» (modify), УНП 192943921, Минск</t>
        </is>
      </c>
    </row>
    <row r="3">
      <c r="A3" t="inlineStr">
        <is>
          <t xml:space="preserve">Товар</t>
        </is>
      </c>
      <c r="B3" s="4" t="inlineStr">
        <is>
          <t xml:space="preserve">Одежда и обувь из Бангладеш и Китая от поставщика из Беларуси. Товар растаможен, есть разрешительные документы; маркировка — «Электронный знак», совместимый с «Честным знаком».</t>
        </is>
      </c>
    </row>
    <row r="4">
      <c r="A4" t="inlineStr">
        <is>
          <t xml:space="preserve">Минимальный заказ</t>
        </is>
      </c>
      <c r="B4" s="4" t="inlineStr">
        <is>
          <t xml:space="preserve">От 5 единиц суммарно по заявке — модели и размеры можно сочетать.</t>
        </is>
      </c>
    </row>
    <row r="5">
      <c r="A5" t="inlineStr">
        <is>
          <t xml:space="preserve">Новым клиентам</t>
        </is>
      </c>
      <c r="B5" s="4" t="inlineStr">
        <is>
          <t xml:space="preserve">Первая доставка — бесплатно. Отсрочка платежа — со второй закупки.</t>
        </is>
      </c>
    </row>
    <row r="6">
      <c r="A6" t="inlineStr">
        <is>
          <t xml:space="preserve">Доставка</t>
        </is>
      </c>
      <c r="B6" s="4" t="inlineStr">
        <is>
          <t xml:space="preserve">По Беларуси до райцентров — от 24 часов (СДЭК, Европочта и другие службы). Россия — отдельные условия: https://modify.by/rossiya/</t>
        </is>
      </c>
    </row>
    <row r="7">
      <c r="A7" t="inlineStr">
        <is>
          <t xml:space="preserve">Цены</t>
        </is>
      </c>
      <c r="B7" s="4" t="inlineStr">
        <is>
          <t xml:space="preserve">В белорусских рублях с НДС за штуку. Окончательное наличие по заявке подтверждает менеджер.</t>
        </is>
      </c>
    </row>
    <row r="8">
      <c r="A8" t="inlineStr">
        <is>
          <t xml:space="preserve">Работаем с</t>
        </is>
      </c>
      <c r="B8" s="4" t="inlineStr">
        <is>
          <t xml:space="preserve">Юридическими лицами и ИП. Посетителей на складе не принимаем — только доставка.</t>
        </is>
      </c>
    </row>
    <row r="9">
      <c r="A9" t="inlineStr">
        <is>
          <t xml:space="preserve">Как заказать</t>
        </is>
      </c>
      <c r="B9" s="4" t="inlineStr">
        <is>
          <t xml:space="preserve">Соберите заявку на https://modify.by (отметьте размеры и количество) или пришлите артикулы и размеры менеджеру.</t>
        </is>
      </c>
    </row>
    <row r="10">
      <c r="A10" t="inlineStr">
        <is>
          <t xml:space="preserve">Телефоны</t>
        </is>
      </c>
      <c r="B10" s="4" t="inlineStr">
        <is>
          <t xml:space="preserve">+375 29 699 77 24, +375 29 629 93 37 (WhatsApp, Viber)</t>
        </is>
      </c>
    </row>
    <row r="11">
      <c r="A11" t="inlineStr">
        <is>
          <t xml:space="preserve">Почта и Telegram</t>
        </is>
      </c>
      <c r="B11" s="4" t="inlineStr">
        <is>
          <t xml:space="preserve">opt@modify.by · Telegram @uservlad1m1r · канал @modify_opt</t>
        </is>
      </c>
    </row>
    <row r="12">
      <c r="A12" t="inlineStr">
        <is>
          <t xml:space="preserve">Прайс обновлён</t>
        </is>
      </c>
      <c r="B12" s="4" t="inlineStr">
        <is>
          <t xml:space="preserve">23.09.2026 19:30 (Минск). Свежая версия: https://modify.by/price.xlsx</t>
        </is>
      </c>
    </row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>
  <Application>modify.by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Прайс-лист modify</dc:title>
  <dc:creator>modify.by</dc:creator>
  <dcterms:created xsi:type="dcterms:W3CDTF">2026-09-23T16:30:29Z</dcterms:created>
  <dcterms:modified xsi:type="dcterms:W3CDTF">2026-09-23T16:30:29Z</dcterms:modified>
</cp:coreProperties>
</file>